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vastan\Documents\DAM\AMR\Elenchi contratti ufficio\Dataset appalti\2021\Dicembre 2021\Da pubblicare\"/>
    </mc:Choice>
  </mc:AlternateContent>
  <bookViews>
    <workbookView xWindow="-120" yWindow="-120" windowWidth="23280" windowHeight="13200"/>
  </bookViews>
  <sheets>
    <sheet name="Foglio1" sheetId="1" r:id="rId1"/>
    <sheet name="valori"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Foglio1!$A$14:$W$826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0" i="1" l="1"/>
  <c r="W726" i="1" l="1"/>
  <c r="W704" i="1"/>
  <c r="T508" i="1" l="1"/>
  <c r="T355" i="1" l="1"/>
  <c r="T400" i="1" l="1"/>
  <c r="W466" i="1" l="1"/>
  <c r="W231" i="1"/>
  <c r="W374" i="1"/>
  <c r="W388" i="1"/>
  <c r="W308" i="1"/>
  <c r="W383" i="1"/>
  <c r="W309" i="1"/>
  <c r="W294" i="1"/>
  <c r="W305" i="1"/>
  <c r="W408" i="1" l="1"/>
  <c r="W350" i="1"/>
  <c r="W244" i="1"/>
  <c r="W223" i="1"/>
  <c r="W45" i="1"/>
  <c r="W44" i="1"/>
  <c r="W298" i="1"/>
  <c r="W158" i="1" l="1"/>
  <c r="W396" i="1"/>
  <c r="W336" i="1"/>
  <c r="W220" i="1"/>
  <c r="W270" i="1"/>
  <c r="W440" i="1"/>
  <c r="W276" i="1"/>
  <c r="W181" i="1"/>
  <c r="W291" i="1"/>
  <c r="W256" i="1"/>
  <c r="W292" i="1"/>
  <c r="W426" i="1"/>
  <c r="W443" i="1"/>
  <c r="W393" i="1"/>
  <c r="W349" i="1" l="1"/>
  <c r="W377" i="1"/>
  <c r="W286" i="1"/>
  <c r="W297" i="1"/>
  <c r="W302" i="1"/>
  <c r="W271" i="1"/>
  <c r="W273" i="1"/>
  <c r="T96" i="1"/>
  <c r="W204" i="1"/>
  <c r="W240" i="1"/>
  <c r="W202" i="1"/>
  <c r="W324" i="1"/>
  <c r="W42" i="1"/>
  <c r="W33" i="1"/>
  <c r="T33" i="1"/>
  <c r="W295" i="1"/>
  <c r="W375" i="1"/>
  <c r="W329" i="1"/>
  <c r="W439" i="1" l="1"/>
  <c r="W431" i="1"/>
  <c r="W428" i="1"/>
  <c r="W427" i="1"/>
  <c r="W424" i="1"/>
  <c r="W420" i="1"/>
  <c r="W416" i="1"/>
  <c r="W413" i="1"/>
  <c r="W410" i="1"/>
  <c r="W406" i="1"/>
  <c r="W398" i="1"/>
  <c r="W386" i="1"/>
  <c r="W385" i="1"/>
  <c r="W381" i="1"/>
  <c r="W371" i="1"/>
  <c r="W358" i="1"/>
  <c r="W354" i="1"/>
  <c r="W353" i="1"/>
  <c r="W352" i="1"/>
  <c r="W339" i="1"/>
  <c r="W338" i="1"/>
  <c r="W332" i="1"/>
  <c r="W331" i="1"/>
  <c r="W330" i="1"/>
  <c r="W323" i="1"/>
  <c r="W322" i="1"/>
  <c r="W293" i="1"/>
  <c r="W290" i="1"/>
  <c r="W289" i="1"/>
  <c r="W288" i="1"/>
  <c r="W283" i="1"/>
  <c r="W282" i="1"/>
  <c r="W281" i="1"/>
  <c r="W278" i="1"/>
  <c r="W277" i="1"/>
  <c r="W275" i="1"/>
  <c r="W265" i="1"/>
  <c r="W263" i="1"/>
  <c r="W258" i="1"/>
  <c r="W254" i="1"/>
  <c r="W253" i="1"/>
  <c r="W252" i="1"/>
  <c r="W248" i="1"/>
  <c r="W247" i="1"/>
  <c r="W245" i="1"/>
  <c r="W243" i="1"/>
  <c r="W239" i="1"/>
  <c r="W235" i="1"/>
  <c r="W233" i="1"/>
  <c r="W232" i="1"/>
  <c r="W230" i="1"/>
  <c r="W228" i="1"/>
  <c r="W227" i="1"/>
  <c r="W226" i="1"/>
  <c r="W225" i="1"/>
  <c r="W222" i="1"/>
  <c r="W218" i="1"/>
  <c r="W212" i="1"/>
  <c r="W211" i="1"/>
  <c r="W209" i="1"/>
  <c r="W208" i="1"/>
  <c r="W206" i="1"/>
  <c r="W205" i="1"/>
  <c r="W199" i="1"/>
  <c r="T199" i="1"/>
  <c r="W198" i="1"/>
  <c r="W197" i="1"/>
  <c r="W196" i="1"/>
  <c r="W195" i="1"/>
  <c r="W194" i="1"/>
  <c r="W193" i="1"/>
  <c r="W192" i="1"/>
  <c r="W191" i="1"/>
  <c r="W190" i="1"/>
  <c r="W189" i="1"/>
  <c r="W188" i="1"/>
  <c r="W187" i="1"/>
  <c r="W186" i="1"/>
  <c r="W185" i="1"/>
  <c r="W184" i="1"/>
  <c r="W183" i="1"/>
  <c r="W182" i="1"/>
  <c r="W176" i="1"/>
  <c r="W175" i="1"/>
  <c r="W168" i="1"/>
  <c r="W166" i="1"/>
  <c r="W159" i="1"/>
  <c r="W155" i="1"/>
  <c r="W154" i="1"/>
  <c r="W153" i="1"/>
  <c r="W150" i="1"/>
  <c r="W149" i="1"/>
  <c r="W148" i="1"/>
  <c r="W147" i="1"/>
  <c r="W144" i="1"/>
  <c r="W143" i="1"/>
  <c r="W139" i="1"/>
  <c r="T139" i="1"/>
  <c r="W126" i="1"/>
  <c r="W123" i="1"/>
  <c r="W122" i="1"/>
  <c r="W112" i="1"/>
  <c r="W109" i="1"/>
  <c r="W78" i="1"/>
  <c r="W75" i="1"/>
  <c r="W68" i="1"/>
  <c r="W67" i="1"/>
  <c r="W65" i="1"/>
  <c r="W59" i="1"/>
  <c r="W55" i="1"/>
  <c r="W50" i="1"/>
  <c r="W38" i="1"/>
  <c r="W35" i="1"/>
  <c r="W31" i="1"/>
  <c r="W29" i="1"/>
  <c r="W28" i="1"/>
  <c r="T28" i="1"/>
  <c r="W26" i="1"/>
  <c r="W25" i="1"/>
  <c r="W24" i="1"/>
  <c r="W23" i="1"/>
  <c r="W22" i="1"/>
  <c r="W20" i="1"/>
  <c r="W18" i="1"/>
</calcChain>
</file>

<file path=xl/sharedStrings.xml><?xml version="1.0" encoding="utf-8"?>
<sst xmlns="http://schemas.openxmlformats.org/spreadsheetml/2006/main" count="5742" uniqueCount="2316">
  <si>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</si>
  <si>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</si>
  <si>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</si>
  <si>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</si>
  <si>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</si>
  <si>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</si>
  <si>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</si>
  <si>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</si>
  <si>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</si>
  <si>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</si>
  <si>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</si>
  <si>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</si>
  <si>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</si>
  <si>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</si>
  <si>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</si>
  <si>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</si>
  <si>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</si>
  <si>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</si>
  <si>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</si>
  <si>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</si>
  <si>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</si>
  <si>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</si>
  <si>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</si>
  <si>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</si>
  <si>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</si>
  <si>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</si>
  <si>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</si>
  <si>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</si>
  <si>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</si>
  <si>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</si>
  <si>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</si>
  <si>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</si>
  <si>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</si>
  <si>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</si>
  <si>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</si>
  <si>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</si>
  <si>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01-PROCEDURA APERTA</t>
  </si>
  <si>
    <t>02-PROCEDURA RISTRETTA</t>
  </si>
  <si>
    <t>03-PROCEDURA NEGOZIATA PREVIA PUBBLICAZIONE</t>
  </si>
  <si>
    <t>04-PROCEDURA NEGOZIATA SENZA PREVIA PUBBLICAZIONE</t>
  </si>
  <si>
    <t>05-DIALOGO COMPETITIVO</t>
  </si>
  <si>
    <t>06-PROCEDURA NEGOZIATA SENZA PREVIA INDIZIONE DI GARA (SETTORI SPECIALI)</t>
  </si>
  <si>
    <t>07-SISTEMA DINAMICO DI ACQUISIZIONE</t>
  </si>
  <si>
    <t>08-AFFIDAMENTO IN ECONOMIA - COTTIMO FIDUCIARIO</t>
  </si>
  <si>
    <t>14-PROCEDURA SELETTIVA EX ART 238 C.7, D.LGS. 163/2006</t>
  </si>
  <si>
    <t>17-AFFIDAMENTO DIRETTO EX ART. 5 DELLA LEGGE 381/91</t>
  </si>
  <si>
    <t>21-PROCEDURA RISTRETTA DERIVANTE DA AVVISI CON CUI SI INDICE LA GARA</t>
  </si>
  <si>
    <t>22-PROCEDURA NEGOZIATA CON PREVIA INDIZIONE DI GARA (SETTORI SPECIALI)</t>
  </si>
  <si>
    <t>23-AFFIDAMENTO DIRETTO</t>
  </si>
  <si>
    <t>24-AFFIDAMENTO DIRETTO A SOCIETA' IN HOUSE</t>
  </si>
  <si>
    <t>25-AFFIDAMENTO DIRETTO A SOCIETA' RAGGRUPPATE/CONSORZIATE O CONTROLLATE NELLE CONCESSIONI E NEI PARTENARIATI</t>
  </si>
  <si>
    <t>26-AFFIDAMENTO DIRETTO IN ADESIONE AD ACCORDO QUADRO/CONVENZIONE</t>
  </si>
  <si>
    <t>27-CONFRONTO COMPETITIVO IN ADESIONE AD ACCORDO QUADRO/CONVENZIONE</t>
  </si>
  <si>
    <t>28-PROCEDURA AI SENSI DEI REGOLAMENTI DEGLI ORGANI COSTITUZIONALI</t>
  </si>
  <si>
    <t>29-PROCEDURA RISTRETTA SEMPLIFICATA</t>
  </si>
  <si>
    <t>30-PROCEDURA DERIVANTE DA LEGGE REGIONALE</t>
  </si>
  <si>
    <t>31-AFFIDAMENTO DIRETTO PER VARIANTE SUPERIORE AL 20% DELL'IMPORTO CONTRATTUALE</t>
  </si>
  <si>
    <t>32-AFFIDAMENTO RISERVATO</t>
  </si>
  <si>
    <t>33-PROCEDURA NEGOZIATA PER AFFIDAMENTI SOTTO SOGLIA</t>
  </si>
  <si>
    <t>34-PROCEDURA ART.16 COMMA 2-BIS DPR 380/2001 PER OPERE URBANIZZAZIONE A SCOMPUTO PRIMARIE SOTTO SOGLIA COMUNITARIA</t>
  </si>
  <si>
    <t>35-PARTERNARIATO PER L’INNOVAZIONE</t>
  </si>
  <si>
    <t>36-AFFIDAMENTO DIRETTO PER LAVORI, SERVIZI O FORNITURE SUPPLEMENTARI</t>
  </si>
  <si>
    <t>37-PROCEDURA COMPETITIVA CON NEGOZIAZIONE</t>
  </si>
  <si>
    <t>38-PROCEDURA DISCIPLINATA DA REGOLAMENTO INTERNO PER SETTORI SPECIALI</t>
  </si>
  <si>
    <t>01-MANDANTE</t>
  </si>
  <si>
    <t>02-MANDATARIA</t>
  </si>
  <si>
    <t>03-ASSOCIATA</t>
  </si>
  <si>
    <t>04-CAPOGRUPPO</t>
  </si>
  <si>
    <t>05-CONSORZIATA</t>
  </si>
  <si>
    <t>titolo</t>
  </si>
  <si>
    <t>abstract</t>
  </si>
  <si>
    <t>dataPubblicazioneDataset</t>
  </si>
  <si>
    <t>entePubblicatore</t>
  </si>
  <si>
    <t>dataUltimoAggiornamentoDataset</t>
  </si>
  <si>
    <t>annoRiferimento</t>
  </si>
  <si>
    <t>urlFile</t>
  </si>
  <si>
    <t>licenza</t>
  </si>
  <si>
    <t>01- PROCEDURA APERTA</t>
  </si>
  <si>
    <t>03-PROCEDURA NEGOZIATA PREVIA PUBBLICAZIONE DEL BANDO</t>
  </si>
  <si>
    <t>04-PROCEDURA NEGOZIATA SENZA PREVIA PUBBLICAZIONE DEL BANDO</t>
  </si>
  <si>
    <t>08 - AFFIDAMENTO IN ECONOMIA - COTTIMO FIDUCIARIO</t>
  </si>
  <si>
    <t>23-AFFIDAMENTO IN ECONOMIA - AFFIDAMENTO DIRETTO</t>
  </si>
  <si>
    <t>26 - AFFIDAMENTO DIRETTO IN ADESIONE AD ACCORDO QUADRO/CONVENZIONE</t>
  </si>
  <si>
    <t>Consob - Divisione Amministrazione</t>
  </si>
  <si>
    <t>35426184DA</t>
  </si>
  <si>
    <t>Servizio di internet service provider ed interconnessione Roma - Milano</t>
  </si>
  <si>
    <t>05815611008</t>
  </si>
  <si>
    <t xml:space="preserve">Telecom Italia Digital Solutions S.p.A. con socio unico </t>
  </si>
  <si>
    <t>80204250585</t>
  </si>
  <si>
    <t xml:space="preserve">Servizio di manutenzione apparati di rete </t>
  </si>
  <si>
    <t>00488410010</t>
  </si>
  <si>
    <t>Telecom Italia S.p.A.</t>
  </si>
  <si>
    <t xml:space="preserve">Convenzione per l'accesso all'archivio dei rapporti finanziari </t>
  </si>
  <si>
    <t>06363391001</t>
  </si>
  <si>
    <t>Agenzia delle Entrate</t>
  </si>
  <si>
    <t>Adempimenti ai sensi dell'articolo 1, comma 32 della legge n. 190/2012</t>
  </si>
  <si>
    <t>CONSOB - Commissione Nazionale per le Società e la Borsa</t>
  </si>
  <si>
    <t>http://www.consob.it/it/web/area-pubblica/riepilogo-dei-contratti</t>
  </si>
  <si>
    <t>IODL</t>
  </si>
  <si>
    <t>BLOOMBERG FINANCE L.P.</t>
  </si>
  <si>
    <t xml:space="preserve">624314670E </t>
  </si>
  <si>
    <t>Adesione a Convenzione Telefonia Mobile 6 -(trasmigrazione da precedente Convenzione) - 6247691DB3 (noleggio cellulari, router, SIM) - 62485323BA (servizio device management) e proroghe</t>
  </si>
  <si>
    <t>552844484E</t>
  </si>
  <si>
    <t>Servizio di manutenzione apparati di rete sede di Roma e di Milano</t>
  </si>
  <si>
    <t>05195930580</t>
  </si>
  <si>
    <t xml:space="preserve">Bucap S.p.A. </t>
  </si>
  <si>
    <t>01924961004</t>
  </si>
  <si>
    <t>Assicassa* Unisalute S.p.A.</t>
  </si>
  <si>
    <t>01-MANDANTE*02-MANDATARIA</t>
  </si>
  <si>
    <t>97607920150</t>
  </si>
  <si>
    <t>Cassa RBM Salute</t>
  </si>
  <si>
    <t xml:space="preserve">Z15137CFA9   </t>
  </si>
  <si>
    <t>Noleggio per 48 mesi stampante XEROX  ColorQube 9303</t>
  </si>
  <si>
    <t>01979371000*07590501008*06572791009*01376370688</t>
  </si>
  <si>
    <t>A.M.G. SYSTEM*E-SERVIZI SPA*LOGATEK SRL*PRIMO PIANO DI STEFANO COPPOLA</t>
  </si>
  <si>
    <t>07590501008</t>
  </si>
  <si>
    <t>E-SERVIZI SPA</t>
  </si>
  <si>
    <t>Z2E12781AE</t>
  </si>
  <si>
    <t>Noleggio n. 7 fotocopiatrici multifunzione per la sede di Milano via Broletto 7 tramite convenzione Consip</t>
  </si>
  <si>
    <t>02298700010</t>
  </si>
  <si>
    <t>OLIVETTI SPA</t>
  </si>
  <si>
    <t>Olivetti Spa</t>
  </si>
  <si>
    <t>5773907AC7</t>
  </si>
  <si>
    <t>Gara per l'affidamento del servizio di  vigilanza armata della sede di Roma della Consob</t>
  </si>
  <si>
    <t>CSM Global Security Service s.r.l. * Sipro Sicurezza Professionale s.r.l.</t>
  </si>
  <si>
    <t>00818630188*07756851007*03707541003*11970841000*03941281002*08720161002*10169951000*04995770585*05800441007*07456011001*02644430825*02652960580*04607470582*10368351002*07897711003*09020721008*07147091008*</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</si>
  <si>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</si>
  <si>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</si>
  <si>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</si>
  <si>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</si>
  <si>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</si>
  <si>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</si>
  <si>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</si>
  <si>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t>
  </si>
  <si>
    <t>00282140029-02937770960-03351210756-00709092583</t>
  </si>
  <si>
    <t>HP Enterprise Services Italia S.r.l. - Multivendor Service S.r.l. - Links Management and Technology S.p.A.- Open System S.r.l.</t>
  </si>
  <si>
    <t>02-MANDATARIA - 01 MANDANTE - 01 MANDANTE - 01 MANDANTE</t>
  </si>
  <si>
    <t>Z1418463DD</t>
  </si>
  <si>
    <t>Adesione alla convenzione Consip (Noleggio autovettura VW GOLF 1.4 )</t>
  </si>
  <si>
    <t>ALD AUTOMOTIVE ITALIA S.r.l.</t>
  </si>
  <si>
    <t>00818570012</t>
  </si>
  <si>
    <t>ZA818BC4EB</t>
  </si>
  <si>
    <t>Noleggio autovettura Fiat Panda - Adesione a convenzione Consip  Autoveicoli in noleggio 11</t>
  </si>
  <si>
    <t>Z320273CA7</t>
  </si>
  <si>
    <t xml:space="preserve">Servizio di tefonia fissa </t>
  </si>
  <si>
    <t>67376493D8</t>
  </si>
  <si>
    <t>RDO tramite MEPA per servizio di manutenzione centrali telefoniche, prodotti, applicativi di supporto alla fonia e servizi accessori in uso presso Consob di Roma e di Milano per il periodo 1.9.2016- 31.8.2018</t>
  </si>
  <si>
    <t>Fastweb spa</t>
  </si>
  <si>
    <t>ZD21BBA069</t>
  </si>
  <si>
    <t>Fornitura n. 3 Netscaler VPX 200 Standard Edition con servizio manutenzione quadriennale</t>
  </si>
  <si>
    <t>00488410010*07059981006</t>
  </si>
  <si>
    <t>Telecom Italia S.p.A.*Teleconsys S.r.l.</t>
  </si>
  <si>
    <t>01603630599</t>
  </si>
  <si>
    <t>00735000572</t>
  </si>
  <si>
    <t>Telpress Italia S.p.A.</t>
  </si>
  <si>
    <t>02067430583</t>
  </si>
  <si>
    <t>01765930589</t>
  </si>
  <si>
    <t>BIOS S.P.A.</t>
  </si>
  <si>
    <t>07710020582</t>
  </si>
  <si>
    <t>CASA DI CURA PAIDEIA S.P.A.</t>
  </si>
  <si>
    <t>12459161001</t>
  </si>
  <si>
    <t>CENTRO MEDICO POLIDIAGNOSTICO S.N.C.</t>
  </si>
  <si>
    <t>05185971008</t>
  </si>
  <si>
    <t>03725910586</t>
  </si>
  <si>
    <t>MARILAB S.R.L.</t>
  </si>
  <si>
    <t>04891080584</t>
  </si>
  <si>
    <t>02980270157</t>
  </si>
  <si>
    <t>02703120150</t>
  </si>
  <si>
    <t>ISTITUTO AUXOLOGICO ITALIANO</t>
  </si>
  <si>
    <t>Celdes S.r.l.</t>
  </si>
  <si>
    <t>02936070982</t>
  </si>
  <si>
    <t>Studio Moretto Group S.r.l.</t>
  </si>
  <si>
    <t>04011340488</t>
  </si>
  <si>
    <t>Ifnet S.r.l.</t>
  </si>
  <si>
    <t>11586340157</t>
  </si>
  <si>
    <t>6878477AC7</t>
  </si>
  <si>
    <t>Acquisizione componenti hardware e software necessarie a realizzare una infrastruttura Wi-Fi presso le sedi Consob di Roma e Milano</t>
  </si>
  <si>
    <t>07945211006</t>
  </si>
  <si>
    <t>6845654C61</t>
  </si>
  <si>
    <t>Fornitura di tre server Oracle, con relativa manutenzione triennale</t>
  </si>
  <si>
    <t>11265511003*10892451005*11673301005*02824320176*12138740159</t>
  </si>
  <si>
    <t>ADVANCED &amp; INNOVATIVE TECHNOLOGY SYSTEMS SRL*CAPRIOLI SOLUTIONS SRL*GWAY SRL*LUTECH SPA*PLUG-IN SRL</t>
  </si>
  <si>
    <t>11673301005</t>
  </si>
  <si>
    <t>GWAY SRL</t>
  </si>
  <si>
    <t>697907855B</t>
  </si>
  <si>
    <t>Fornitura di n. 3 server HP DL580 e componenti accessorie funzionali al progetto "Transaction Reporting" su richiesta della Divisione Infrastrutture Informative</t>
  </si>
  <si>
    <t>04472901000</t>
  </si>
  <si>
    <t>Converge spa</t>
  </si>
  <si>
    <t xml:space="preserve"> 7090456D61</t>
  </si>
  <si>
    <t>03765020965</t>
  </si>
  <si>
    <t>05231661009</t>
  </si>
  <si>
    <t>R1  S.p.A.</t>
  </si>
  <si>
    <t>71184445D1</t>
  </si>
  <si>
    <t>Servizi di "Facility Management" per l'edificio di via G. B. Martini n. 3 sede della Consob in Roma - Contratto-ponte</t>
  </si>
  <si>
    <t>07124210019</t>
  </si>
  <si>
    <t xml:space="preserve">Converge S.p.A. </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</si>
  <si>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</si>
  <si>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</si>
  <si>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</si>
  <si>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</si>
  <si>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</si>
  <si>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</si>
  <si>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ZE01D83F4E</t>
  </si>
  <si>
    <t>Abbonamento digitale al quotidiano "Il Fatto Quotidiano" per l'anno 2017</t>
  </si>
  <si>
    <t>10460121006</t>
  </si>
  <si>
    <t>Editoriale Il Fatto spa</t>
  </si>
  <si>
    <t>12086540155</t>
  </si>
  <si>
    <t>RCS MediaGroup spa</t>
  </si>
  <si>
    <t>ZE621FA6D2</t>
  </si>
  <si>
    <t>Fornitura di quotidiani e periodici presso la sede Consob di Roma per l'anno 2018</t>
  </si>
  <si>
    <t>12156521002</t>
  </si>
  <si>
    <t>Servizi Diffusionali srl</t>
  </si>
  <si>
    <t>06979891006</t>
  </si>
  <si>
    <t>7380605BE9</t>
  </si>
  <si>
    <t>Fornitura di buoni pasto elettronici per la sede Consob di Roma mediante adesione alla convenzione Consip 'Buoni pasto elettronici 1', lotto 3</t>
  </si>
  <si>
    <t>03543000370</t>
  </si>
  <si>
    <t>Day Ristoservice spa</t>
  </si>
  <si>
    <t>06655971007</t>
  </si>
  <si>
    <t>Z8B22F4D00</t>
  </si>
  <si>
    <t>Servizi per la gestione integrata della salute e della sicurezza sui luoghi di lavoro presso la sede di Roma (contratto "ponte")</t>
  </si>
  <si>
    <t>03533961003</t>
  </si>
  <si>
    <t>Sintesi spa</t>
  </si>
  <si>
    <t>7427547DAC</t>
  </si>
  <si>
    <t>Concessione del servizio di gestione di distributori automatici di bevande e prodotti alimentari nella sede Consob di Roma - LOTTO 1 (nessun onere a carico della CONSOB)</t>
  </si>
  <si>
    <t>01870980362*01038120307*08751571004*09736171001</t>
  </si>
  <si>
    <t>Gruppo Argenta spa*Gruppo Illiria spa*Royal Coffee Distributori Automatici srl*S.D.A. Servizi Distributori Automatici srl</t>
  </si>
  <si>
    <t>01038120307</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</si>
  <si>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</si>
  <si>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</si>
  <si>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</si>
  <si>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</si>
  <si>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</si>
  <si>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</si>
  <si>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</si>
  <si>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</si>
  <si>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01850570746</t>
  </si>
  <si>
    <t>77271852C9</t>
  </si>
  <si>
    <t>Apparati di rete e servizi complementari per le sedi Consob di Roma e di Milano (convenz. Consip "Reti locali 6", lotto 1)</t>
  </si>
  <si>
    <t>7779388A0E</t>
  </si>
  <si>
    <t>Servizi di telefonia fissa per le sedi Consob di Roma e Milano (conv. Consip 'Telefonia fissa 5', lotto unico)</t>
  </si>
  <si>
    <t>12878470157</t>
  </si>
  <si>
    <t>FASTWEB SPA</t>
  </si>
  <si>
    <t>Z8E27C6B8C</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</si>
  <si>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</si>
  <si>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</si>
  <si>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t>
  </si>
  <si>
    <t>Elips Life Ltd</t>
  </si>
  <si>
    <t>00453850588</t>
  </si>
  <si>
    <t>00777910159</t>
  </si>
  <si>
    <t>Il Sole 24 Ore S.p.A</t>
  </si>
  <si>
    <t xml:space="preserve"> 07201450587 </t>
  </si>
  <si>
    <t>ASKANEWS S.p.A.</t>
  </si>
  <si>
    <t>ZCB2147966</t>
  </si>
  <si>
    <t>Abbonamento alla banca dati “Markit Buyside Toolkit 1 DataRegion and PX Application” per l'anno 2018</t>
  </si>
  <si>
    <t>Markit Securities Finance Analytics Limited</t>
  </si>
  <si>
    <t>02313821007</t>
  </si>
  <si>
    <t>08517850155</t>
  </si>
  <si>
    <t>ZB6216EF15</t>
  </si>
  <si>
    <t>Acquisizione dei servizi “Nominativi e Società Antiriciclaggio” e “Liste PIL” della banca dati “Compliance Daily Control”  per l'anno 2018</t>
  </si>
  <si>
    <t>SGR Consulting SA</t>
  </si>
  <si>
    <t>Oracle Italia S.r.l. a socio unico</t>
  </si>
  <si>
    <t>02595560968</t>
  </si>
  <si>
    <t>MITSUBISHI ELECTRIC EUROPE B.V.</t>
  </si>
  <si>
    <t>7249596BDD</t>
  </si>
  <si>
    <t xml:space="preserve">Servizio di manutenzione Melis A1 per 48 mesi apparecchiature VRF Replace Multi </t>
  </si>
  <si>
    <t>731068581B</t>
  </si>
  <si>
    <t>RDO congiunta per fornitura di materiale di consumo per esigenze di CONSOB e di ANTITRUST</t>
  </si>
  <si>
    <t>Consob</t>
  </si>
  <si>
    <t>AXWAY SRL</t>
  </si>
  <si>
    <t>HONEYWELL SRL</t>
  </si>
  <si>
    <t>SPAFID CONNECT SPA</t>
  </si>
  <si>
    <t>Z82219D9E9</t>
  </si>
  <si>
    <t>Fornitura e posa in opera di n. 3 porte REI 60 vetrate per il 5° Piano scala C sede Consob.</t>
  </si>
  <si>
    <t>TECNOMATIC SRL</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</si>
  <si>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</si>
  <si>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</si>
  <si>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</si>
  <si>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</si>
  <si>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</si>
  <si>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</si>
  <si>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</si>
  <si>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</si>
  <si>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 SIAV SPA</t>
  </si>
  <si>
    <t>ZEA2276472</t>
  </si>
  <si>
    <t>Servizio di Manutenzione delle Licenze Mathematica per il triennio 2018-2021</t>
  </si>
  <si>
    <t>ADALTA SNC</t>
  </si>
  <si>
    <t>Z7B22896D4</t>
  </si>
  <si>
    <t>Servizio "Market Connect Feed Argo" per l'anno 2018</t>
  </si>
  <si>
    <t>09112910964</t>
  </si>
  <si>
    <t>BRSRRT68D21H808U</t>
  </si>
  <si>
    <t>Z272317777</t>
  </si>
  <si>
    <t>Manutenzione ordinaria sugli infissi della sede Consob di Roma</t>
  </si>
  <si>
    <t>MC ENGINEERING SRLS</t>
  </si>
  <si>
    <t>Z6F2320087</t>
  </si>
  <si>
    <t>Convenzione con strutture di asili nido per l'anno pedagogico 2018-2019</t>
  </si>
  <si>
    <t>L'APE MAIA SAS</t>
  </si>
  <si>
    <t>BLOOMBERG L.P.</t>
  </si>
  <si>
    <t>62431467OE</t>
  </si>
  <si>
    <t>Servizio di tefonia mobile</t>
  </si>
  <si>
    <t>Adesione lotto 2 Convenzione Stampanti 15</t>
  </si>
  <si>
    <t>INFORDATA S.p.A.</t>
  </si>
  <si>
    <t>7415215CFC</t>
  </si>
  <si>
    <t>Adesione lotto 3 Convenzione Stampanti 15</t>
  </si>
  <si>
    <t>02973040963</t>
  </si>
  <si>
    <t>KYOCERA DOCUMENT SOLUTIONS ITALIA S.P.A.</t>
  </si>
  <si>
    <t>Adesione lotto 7 Convenzione Stampanti 15</t>
  </si>
  <si>
    <t>02102821002</t>
  </si>
  <si>
    <t>ITALWARE S.R.L.</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</si>
  <si>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</si>
  <si>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</si>
  <si>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</si>
  <si>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</si>
  <si>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</si>
  <si>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</si>
  <si>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</si>
  <si>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05032840968</t>
  </si>
  <si>
    <t>MATICMIND S.p.A.</t>
  </si>
  <si>
    <t>Z3F228D031</t>
  </si>
  <si>
    <t>Registrazione al sito Social Science Research Network per il triennio 2018-2021</t>
  </si>
  <si>
    <t>Social Science Electronic Publishing</t>
  </si>
  <si>
    <t>739411263F</t>
  </si>
  <si>
    <t>05044820156</t>
  </si>
  <si>
    <t>LINGUARAMA ITALIA SRL</t>
  </si>
  <si>
    <t>73941548E7</t>
  </si>
  <si>
    <t>05105710155</t>
  </si>
  <si>
    <t>MANPOWER TALENT SOLUTION COMPANY SRL</t>
  </si>
  <si>
    <t>Corso di Inglese (Lotto1 - sede Roma) attivazione opzione rinnovo contratto II° anno</t>
  </si>
  <si>
    <t>Corso di Inglese (Lotto 2 - sede Milano) attivazione opzione rinnovo contratto II° anno</t>
  </si>
  <si>
    <t>00051570893</t>
  </si>
  <si>
    <t>04272801004</t>
  </si>
  <si>
    <t>Team office S.r.l.</t>
  </si>
  <si>
    <t>Z652128748</t>
  </si>
  <si>
    <t>MANUTENZIONE ACCESSORI VIDEOCONFERENZA</t>
  </si>
  <si>
    <t>TEAM OFFICE SRL</t>
  </si>
  <si>
    <t>TEAM OFFIC ESRL</t>
  </si>
  <si>
    <t>Z482399235</t>
  </si>
  <si>
    <t>Fornitura di n. 1.100 licenze d'uso per 24 mesi del sofware antivirus SEP</t>
  </si>
  <si>
    <t>ECOBYTE TECHNOLOGY SRL</t>
  </si>
  <si>
    <t>Z9523CC8FC</t>
  </si>
  <si>
    <t>servizio Oracle per la pianificazione, la programmazione ed il reporting</t>
  </si>
  <si>
    <t>THE MATHWORKS SRL</t>
  </si>
  <si>
    <t>ATS ADVANCED TECHNOLOGY SOLUTIONS SPA</t>
  </si>
  <si>
    <t>ZB6240BEDC</t>
  </si>
  <si>
    <t>Intervento di Realizzazione di predisposizioni elettriche per il collegamento di dispenser di acqua in boccioni presso la sede</t>
  </si>
  <si>
    <t>MANITAL S.C.P.A.</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</si>
  <si>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</si>
  <si>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</si>
  <si>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</si>
  <si>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</si>
  <si>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</si>
  <si>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</si>
  <si>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</si>
  <si>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</si>
  <si>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</si>
  <si>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Z7C2364555</t>
  </si>
  <si>
    <t>Acquisto di licenze di librerie grafiche Vaadin.</t>
  </si>
  <si>
    <t>Vaadin</t>
  </si>
  <si>
    <t>Z32240C862</t>
  </si>
  <si>
    <t>Acquisizione di n. 4 server, componenti accessori e servizi complementari e di
manutenzione</t>
  </si>
  <si>
    <t>75150206AF</t>
  </si>
  <si>
    <t>Adesione alla Convenzione Consip “ Stampanti 15” – lotto 4 - per l’acquisizione di due stampanti, relativi kit di toner e materiali accessori</t>
  </si>
  <si>
    <t>74075106A0</t>
  </si>
  <si>
    <t>Adesione all’Accordo quadro Consip Centrali Telefoniche 7 - lotto 1 per
l’affidamento della fornitura di materiali hardware e licenze software per la centrale
telefonica di Roma</t>
  </si>
  <si>
    <t xml:space="preserve">Fastweb S.p.A. </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</si>
  <si>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</si>
  <si>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</si>
  <si>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</si>
  <si>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</si>
  <si>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</si>
  <si>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</si>
  <si>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</si>
  <si>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</si>
  <si>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ZB1248771E</t>
  </si>
  <si>
    <t>mantenzione straordinaria impianto elevatore n. 8 (duplex) sede consob di Roma</t>
  </si>
  <si>
    <t>ZB924448A4</t>
  </si>
  <si>
    <t>revisione pompa di ricircolo dell'impianto di condizionamento dell'Auditorium e delle tre pompe di sollevamento dell'impianto idrico-sanitario presso la sede</t>
  </si>
  <si>
    <t>Z2B249AA2A</t>
  </si>
  <si>
    <t>Affidamento Servizi di Verifica Straordinaria degli impianti elevatori duplex presso la sede Consob di Roma</t>
  </si>
  <si>
    <t>05384711007</t>
  </si>
  <si>
    <t>ELTI - EUROPEAN LIFT TESTING ITALIA SRL</t>
  </si>
  <si>
    <t>Z5E252F3D2</t>
  </si>
  <si>
    <t>Intervento di smaltimento rifiuti ingombranti della sede di Roma</t>
  </si>
  <si>
    <t>00787010586</t>
  </si>
  <si>
    <t xml:space="preserve">procedura aperta europea in modalità telematica per l’appalto dei servizi di assistenza sanitaria e di medicina preventiva (check-up) per il personale in servizio e in quiescenza della CONSOB e dell’AGCM- LOTTO 2 AGCM </t>
  </si>
  <si>
    <t>09864610150</t>
  </si>
  <si>
    <t>Il Sole 24 Ore S.p.A.</t>
  </si>
  <si>
    <t>Z6024FC692</t>
  </si>
  <si>
    <t>contratto ponte per accertamenti diagnostici ordinari e mirati in favore della Consob</t>
  </si>
  <si>
    <t>R.T.I CAN.BI.AS CARAVAGGIO S.R.L.</t>
  </si>
  <si>
    <t>ZCC24FDFC2</t>
  </si>
  <si>
    <t>Z8824FE00F</t>
  </si>
  <si>
    <t>ZCB24FE078</t>
  </si>
  <si>
    <t>ZE924FE0B6</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</si>
  <si>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</si>
  <si>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</si>
  <si>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</si>
  <si>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</si>
  <si>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</si>
  <si>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</si>
  <si>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</si>
  <si>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ZDE24FE1AB</t>
  </si>
  <si>
    <t xml:space="preserve"> R.T.I RADIOLOGIA MOSTACCIANO</t>
  </si>
  <si>
    <t>Z1324FE1DC</t>
  </si>
  <si>
    <t>H SAN RAFFAELE RESNATI S.R.L.</t>
  </si>
  <si>
    <t>Z7D24FE1FF</t>
  </si>
  <si>
    <t>ISTITUTO POLIGRAFICO E ZECCA DELLO STATO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</si>
  <si>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</si>
  <si>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</si>
  <si>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</si>
  <si>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</si>
  <si>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</si>
  <si>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</si>
  <si>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BORSA ITALIANA SPA</t>
  </si>
  <si>
    <t>Z6C25D7CF1</t>
  </si>
  <si>
    <t>Acquisizione di 12 licenze del software Oracle Solaris Premier Subsription for Non - Oracle Hardware</t>
  </si>
  <si>
    <t>Z4C2614EAB</t>
  </si>
  <si>
    <t>Intervento di manutenzione su impianti di spegnimento antincendio della sede Consob di Roma</t>
  </si>
  <si>
    <t>Z582622B91</t>
  </si>
  <si>
    <t>Abbonamento al servizio SPAFID Market Connect Feed Argo (nov. 2018 - feb. 2021)</t>
  </si>
  <si>
    <t>FZZDLF74A19F839J</t>
  </si>
  <si>
    <t>Z57259B37B</t>
  </si>
  <si>
    <t>Abbonamento alla Banca Dati "Markit Buyside Toolkit" per l'anno 2019</t>
  </si>
  <si>
    <t>MARKIT SECURITIES FINANCE ANALYTICS LIMITED</t>
  </si>
  <si>
    <t>ALLIANCE NEWS ITALIAN SERVICE</t>
  </si>
  <si>
    <t>ZB525BBBF4</t>
  </si>
  <si>
    <t>Abbonamento alla banca dati "Dealogic" per l'anno 2019</t>
  </si>
  <si>
    <t>DEALOGIC</t>
  </si>
  <si>
    <t>Z6C2624B6E</t>
  </si>
  <si>
    <t>Servizio di Abbonamento al notiziario "Breakngviews" per l'anno 2019</t>
  </si>
  <si>
    <t>REUTERS NEWS &amp; MEDIA ITALIA S.R.L.</t>
  </si>
  <si>
    <t>Licenze d'uso del software SAS e del Servizio Enterprise Guide per l'anno 2019</t>
  </si>
  <si>
    <t>SAS INSTITUTE SRL</t>
  </si>
  <si>
    <t>ZOF2627ED7</t>
  </si>
  <si>
    <t>Servizio di Abbonamento al notiziario "Italian news Service" per l'anno 2019</t>
  </si>
  <si>
    <t>BUREAU VAN DIJK EDIZIONI ELETTRONICHE SPA</t>
  </si>
  <si>
    <t>GENIO BUSINESS SRL</t>
  </si>
  <si>
    <t>MORNINGSTAR ITALY SRL</t>
  </si>
  <si>
    <t>10556200961</t>
  </si>
  <si>
    <t>INFRONT ITALIA SRL</t>
  </si>
  <si>
    <t>ICE DATA SERVICES ITALY S.R.L.</t>
  </si>
  <si>
    <t>Z22265FB49</t>
  </si>
  <si>
    <t>Servizio di Abbonamento al notiziario "Adnkronos" per l'anno 2019</t>
  </si>
  <si>
    <t>ADNKRONOS SOCIETA' PER AZIONI AGENZIA GIORNALISTICA DI INFORMAZIONI-ADN KRONOS</t>
  </si>
  <si>
    <t>ANSA AGENZIA NAZIONALE STAMPA ASSOCIATA-ANSA</t>
  </si>
  <si>
    <t>IL SOLE 24 ORE SPA</t>
  </si>
  <si>
    <t>7629964D77</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</si>
  <si>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</si>
  <si>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</si>
  <si>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</si>
  <si>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</si>
  <si>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</si>
  <si>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</si>
  <si>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</si>
  <si>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</si>
  <si>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</si>
  <si>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</si>
  <si>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</si>
  <si>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</si>
  <si>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</si>
  <si>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</si>
  <si>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</si>
  <si>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</si>
  <si>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</si>
  <si>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</si>
  <si>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</si>
  <si>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</si>
  <si>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</si>
  <si>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</si>
  <si>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</si>
  <si>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</si>
  <si>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</si>
  <si>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</si>
  <si>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</si>
  <si>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08619670584</t>
  </si>
  <si>
    <t>772688398F</t>
  </si>
  <si>
    <t>Oracle - Rinnovo manutenzione licenze d'uso software - anno 2019</t>
  </si>
  <si>
    <t>INFOCERT SPA</t>
  </si>
  <si>
    <t>Z8526D7C3C</t>
  </si>
  <si>
    <t>Servizio di Posta Elettronica Certificata per il periodo 1/1/2019-30/09/2019</t>
  </si>
  <si>
    <t>ZE22769080</t>
  </si>
  <si>
    <t>Interventi di manutenzione ordinaria : Sostituzione impianto climatizzazione nel locale "archivio centrale" sede Roma</t>
  </si>
  <si>
    <t>02595560968*13888401000*05609471007*11339921006*07124210019</t>
  </si>
  <si>
    <t>mitsubishi electric europe b.v.*MC Engineering s.r.l.*Edilclima s.r.l.*Clima Store s.r.l.*Manital S.c.p.a.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</si>
  <si>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</si>
  <si>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</si>
  <si>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</si>
  <si>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</si>
  <si>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</si>
  <si>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</si>
  <si>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Z722670110</t>
  </si>
  <si>
    <t>CLASSPI S.P.A.</t>
  </si>
  <si>
    <t>ARTI GRAFICHE SAN MARCELLO SRL</t>
  </si>
  <si>
    <t>Servizio di Manutenzione dei server Oracle (01.01.2019/31.12.2019)</t>
  </si>
  <si>
    <t>GEDI DIGITAL SRL</t>
  </si>
  <si>
    <t>ZA027D733E</t>
  </si>
  <si>
    <t>Quota per l’adesione della Consob al Certfin come membro della consituency  per l’anno 2019</t>
  </si>
  <si>
    <t>07312041002</t>
  </si>
  <si>
    <t>Consorzio Abilab</t>
  </si>
  <si>
    <t>ZE827D7405</t>
  </si>
  <si>
    <t>782068596B</t>
  </si>
  <si>
    <t>Abbonamento banca dati BLOOMBERG (MI) DIE (PEQ) - Sede di Milano -postazione OPEN (Sid: 2261974)</t>
  </si>
  <si>
    <t>782062798E</t>
  </si>
  <si>
    <t>Abbonamento banca dati BLOOMBERG (RM) DME (VME) - sede di Roma - postazione OPEN (Sid: 3536483)</t>
  </si>
  <si>
    <t>7827941D41</t>
  </si>
  <si>
    <t>Adesione Convenzione per la prestazione di servizi di telefonia mobile e servizi connessi - Lotto 1</t>
  </si>
  <si>
    <t>7831258E87</t>
  </si>
  <si>
    <t>Adesione Convenzione Consip Licenze Software DELL-EMC</t>
  </si>
  <si>
    <t>Adesione a convenzione Consip "PC Desktop 16" lotto 3 per la fornitura di n. 125 PC desktop</t>
  </si>
  <si>
    <t>09337161005</t>
  </si>
  <si>
    <t>MULTIDESIGN SRL</t>
  </si>
  <si>
    <t>Z1927CCE6A</t>
  </si>
  <si>
    <t>Adesione Convenzione consip "apparecchiature multifunzione 30"</t>
  </si>
  <si>
    <t>Kyocera Documents Solutions Italia S.p.A</t>
  </si>
  <si>
    <t>ZEE286507B</t>
  </si>
  <si>
    <t>Servizio di delivery del segnale per il notiziario MF Dow Jones Professional dal 01.06.2019 al 31 maggio 2021</t>
  </si>
  <si>
    <t>TELPRESS ITALIA SPA</t>
  </si>
  <si>
    <t>ZE52826113</t>
  </si>
  <si>
    <t>Manutenzione e assistenza software Tosca</t>
  </si>
  <si>
    <t>Z7527ED077</t>
  </si>
  <si>
    <t>Servizio di supporto specialistico dalla società Oracle per spegnimento apparati della server Farm</t>
  </si>
  <si>
    <t>ZF728C600C</t>
  </si>
  <si>
    <t>Manutenzione biennale n. 2 apparati Raggi X SecurSCANXRC-6040P</t>
  </si>
  <si>
    <t>SECURITALY S.R.L.</t>
  </si>
  <si>
    <t>CORTE SUPREMA DI CASSAZIONE</t>
  </si>
  <si>
    <t>ZD327DD359</t>
  </si>
  <si>
    <t>Abbonamento alla Banca dati Mediaddress per il periodo 30 aprile 2019 - 29 aprile 2021</t>
  </si>
  <si>
    <t>MEDIADATA S.R.L.</t>
  </si>
  <si>
    <t>Rinnovo servizio di manutenzione licenze Microsoft per il triennio 01 luglio 2019 - 30 giugno 2022</t>
  </si>
  <si>
    <t>Convenzione con strutture di asili nido per l'anno pedagogico 2019-2020</t>
  </si>
  <si>
    <t>ZE527CA841</t>
  </si>
  <si>
    <t>Adesione accordo quadro Consip "Fuel card 1" per la fornitura di carburante da autotrazione mediante fuel Card da maggio 2019 al 24 gennaio 2022</t>
  </si>
  <si>
    <t>ITALIANA PETROLI SPA</t>
  </si>
  <si>
    <t>ZAF2829FFA</t>
  </si>
  <si>
    <t>Acquisto di n. 4000 cartelline e n. 400 blocknotes personalizzati da utilizzare in occasione di convegni, seminari ed incontri di lavoro</t>
  </si>
  <si>
    <t>Z0127F63A5</t>
  </si>
  <si>
    <t>Fornitura di n. 150 copie della Relazione Annuale dell'Arbitro per le Controversie Finanziarie</t>
  </si>
  <si>
    <t>Z7B2815E18</t>
  </si>
  <si>
    <t>Z902864CB7</t>
  </si>
  <si>
    <t>Abbonamento al notiziario MF Dow Jones Professional dal 01.06.2019 al 31 maggio 2021</t>
  </si>
  <si>
    <t>MF DOW JONES NEWS SRL</t>
  </si>
  <si>
    <t>7804267CDA</t>
  </si>
  <si>
    <t>Fornitura energia elettrica sede ROMA, in conv. Consip "EE 16" dal 01 maggio 2019 al 30 aprile 2020</t>
  </si>
  <si>
    <t>ENEL ENERGIA SPA</t>
  </si>
  <si>
    <t>ZF328BA79F</t>
  </si>
  <si>
    <t>Servizi di Sorveglianza n.2 radiogeni per il controllo di pacchi presso la sede (per il periodo 1 luglio 2019 -30 giugno 2022)</t>
  </si>
  <si>
    <t>PANICHELLI HSC SRLS</t>
  </si>
  <si>
    <t>L'ITALIANA SERVIZI S.C.A.R.L.</t>
  </si>
  <si>
    <t>ZED1EEE7E</t>
  </si>
  <si>
    <t>Manutenzione ordinaria, straordinaria ed evolutiva delle tende della sede Consob di Roma - RdI n. 5</t>
  </si>
  <si>
    <t>Z98284AB3B</t>
  </si>
  <si>
    <t>Integrazione del Certificato di Prevenzione Incendi a seguito di lavori di ristrurazione alimentazioni elettriche sede Roma</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</si>
  <si>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</si>
  <si>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</si>
  <si>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</si>
  <si>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</si>
  <si>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</si>
  <si>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</si>
  <si>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778283027E</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</si>
  <si>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</si>
  <si>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</si>
  <si>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</si>
  <si>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</si>
  <si>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</si>
  <si>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</si>
  <si>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</si>
  <si>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</si>
  <si>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</si>
  <si>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</si>
  <si>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</si>
  <si>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dell'opzione di rinnovo, agli stessi patti e condizioni, del contratto in
essere per la copertura assicurativa della Consob contro i danni al patrimonio immobile e mobile
(ALL RISK) con UnipolSai Assicurazioni S.p.A. per ulteriori due anni</t>
  </si>
  <si>
    <t>Unipol Sai Assicurazioni S.p.A.</t>
  </si>
  <si>
    <t>Quota di adesione della CONSOB all'Osservatorio Business Continuity</t>
  </si>
  <si>
    <t>affidamento diretto preceduto da indagine di mercato, ai sensi dell’art. 36, comma 2, lett. a) del d.lgs. 50/2016 s.m.i., del servizio di copertura assicurativa della responsabilità civile della Consob verso terzi e dipendenti (RCT/RCO)</t>
  </si>
  <si>
    <t>ZA72897AD2</t>
  </si>
  <si>
    <t>03304900263</t>
  </si>
  <si>
    <t>Z9028F22A8</t>
  </si>
  <si>
    <t>7018113A0D</t>
  </si>
  <si>
    <t>Accordo quadro per servizi di catering presso le sedi Consob di Roma</t>
  </si>
  <si>
    <t>05781230965*08462070585*11009411007*03901021000*02977600135*07811800965*07465960966*04168301002*06119051008*09248951007*01939920185</t>
  </si>
  <si>
    <t>ARTESAPORI CATERING &amp; BANQUETING SRL*CALIFORNIA CATERING SRL*COLASANTI CATERING SRL*GIOLITTI CATERING SRL*ILPARTYCOLARE SRL*IT FIRENZE SRL*MAGGIONI PARTY SERVICE SRL A SOCIO UNICO*NICOLAI RICEVIMENTI*PALOMBINI RICEVIMENTI SRL*RELAIS LE JARDIN*VOLPI PIETRO S.R.L</t>
  </si>
  <si>
    <t>03901021000</t>
  </si>
  <si>
    <t>Giolitti Catering srl</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</si>
  <si>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</si>
  <si>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</si>
  <si>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</si>
  <si>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</si>
  <si>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00929440592</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</si>
  <si>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</si>
  <si>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</si>
  <si>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</si>
  <si>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</si>
  <si>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</si>
  <si>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</si>
  <si>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</si>
  <si>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</si>
  <si>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</si>
  <si>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</si>
  <si>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</si>
  <si>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</si>
  <si>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80211763D5</t>
  </si>
  <si>
    <t>Adesione a Contratto Quadro “SERVIZI CLOUD”, lotto 2 Servizi di gestione delle identità digitali e sicurezza applicativa</t>
  </si>
  <si>
    <t>00881841001</t>
  </si>
  <si>
    <t>LEONARDO</t>
  </si>
  <si>
    <t>804700134C</t>
  </si>
  <si>
    <t>AVR SPA</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</si>
  <si>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</si>
  <si>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</si>
  <si>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</si>
  <si>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</si>
  <si>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</si>
  <si>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8123538B9E</t>
  </si>
  <si>
    <t>Fornitura di n. 10 stampanti (con 24 mesi garanzia) e n. 5 confezioni da n. 4 toner - Convenzione Consip Stampanti 17, Lotto 2 CIG 8123538B9E</t>
  </si>
  <si>
    <t>8111793F55</t>
  </si>
  <si>
    <t>Acquisizione del Software Red Hat  "Licenze Software Multibrand 2 " lotto 4 per 36 mesi dall'attivazione</t>
  </si>
  <si>
    <t>Z6A2A95791</t>
  </si>
  <si>
    <t>Acquisizione del gestionale WMS e della relativa manutenzione per 24 mesi e connessi servizi di migraazione, correzione, ripulitura, revisione del catalogo della biblioteca della Consob</t>
  </si>
  <si>
    <t>Z0829F9A4B</t>
  </si>
  <si>
    <t>Manutenzione del sistema di controllo accessi e rilevazione presenze anno 2020</t>
  </si>
  <si>
    <t>Z752A1AFA2</t>
  </si>
  <si>
    <t>Servizio di Abbonamento alla Banca Dati "KeyData loader" anno 2020</t>
  </si>
  <si>
    <t>Servizio abbonamento alla Banca dati "Backonline" per l'anno 2020</t>
  </si>
  <si>
    <t>ZA62A31CD4</t>
  </si>
  <si>
    <t>Servizio di abbonamento alla Banca Dati "Data feed Morningstar" per l'anno 2020</t>
  </si>
  <si>
    <t>Z582A431DE</t>
  </si>
  <si>
    <t>Abbonamento alla banca dati "Market Connect Web" anno 2020</t>
  </si>
  <si>
    <t>Z4C2A4328E</t>
  </si>
  <si>
    <t>Abbonamento banca dati "Infront Professional Terminal" anno 2020.</t>
  </si>
  <si>
    <t>Z8D2A5E1D5</t>
  </si>
  <si>
    <t>Abbonamento notiziario agenzia ADN KRONOS per l'anno 2020</t>
  </si>
  <si>
    <t>Z4A2A5E267</t>
  </si>
  <si>
    <t>Abbonamento notiziario + noleggio antenna ANSA per l'anno 2020</t>
  </si>
  <si>
    <t>Z732A5E2AB</t>
  </si>
  <si>
    <t>Abbonamento notiziario Generale Multimediale Askanews per l'anno 2020</t>
  </si>
  <si>
    <t>Z592A5E381</t>
  </si>
  <si>
    <t>Abbonamento notiziario Breakingviews per l'anno 2020</t>
  </si>
  <si>
    <t>ZA32A5E3D7</t>
  </si>
  <si>
    <t>Abbonamento al notiziario "Italian news Service" per l'anno 2020</t>
  </si>
  <si>
    <t>Abbonamento notiziario Radiocor per l'anno 2020</t>
  </si>
  <si>
    <t>ZB32A97DDF</t>
  </si>
  <si>
    <t>Abbonamento alle banche dati "Telemaco" ed "EBR" per l'anno 2020.</t>
  </si>
  <si>
    <t>INFOCAMERE - SOCIETA' CONSORTILE DI INFORMATICA DELLE CAMERE DI COMMERCIO ITALIANE PER AZIONI</t>
  </si>
  <si>
    <t>80667772F8</t>
  </si>
  <si>
    <t>Manutenzione di n. 425 licenze del software Filenet P8 1 feb 2020 - 31 gen 2021</t>
  </si>
  <si>
    <t>Acquisizione del servizio di supporto e manutenzione del software Business Object. CIG 8054639260 Biennale dal 01 gennaio 2020 al 31 dicembre 2021</t>
  </si>
  <si>
    <t>ENGINEERING INGEGNERIA INFORMATICA - S.P.A</t>
  </si>
  <si>
    <t>804806622A</t>
  </si>
  <si>
    <t>Servizio di Manutenzione dei Server Oracle di RM e MI anno 2020</t>
  </si>
  <si>
    <t>11673301005*05380651009</t>
  </si>
  <si>
    <t>GWAY S.R.L.*KAY SYSTEMS ITALIA S.R.L.</t>
  </si>
  <si>
    <t>812512486E</t>
  </si>
  <si>
    <t>Abbonamento banca dati "L'approccio alla finanza e agli investimenti delle famiglie italiane" anno 2020.</t>
  </si>
  <si>
    <t>ZD12B2BDF2</t>
  </si>
  <si>
    <t>Adesione a "CERTFin" anno 2020</t>
  </si>
  <si>
    <t>CONSORZIO ABI LAB - CENTRO DI RICERCA E INNOVAZIONE PER LA BANCA</t>
  </si>
  <si>
    <t>808985250F</t>
  </si>
  <si>
    <t>Licenza d'uso software SAS Analiytics dal 01.01.2020 al 31.12.2021</t>
  </si>
  <si>
    <t>DEDAGROUP PUBLIC SERVICES*HARPA*ITALWARE SRL*NPO SISTEMI SRL* R1SPA</t>
  </si>
  <si>
    <t>ZAA2B2D7B6</t>
  </si>
  <si>
    <t>Adesione a "Osservatorio Business Continuity" anno 2020</t>
  </si>
  <si>
    <t>8124879E3E</t>
  </si>
  <si>
    <t>Acquisizione del Servizio di supporto e manutenzione delle licenze d'uso Oracle anno 2020</t>
  </si>
  <si>
    <t>ZAE2A19F9F</t>
  </si>
  <si>
    <t>Abbonamento alla Banca Dati "Genio Compliance" per l'anno 2020</t>
  </si>
  <si>
    <t>8090737F5F</t>
  </si>
  <si>
    <t>Banca dati Bloomberg 3 licenze (RM) 2020-2022</t>
  </si>
  <si>
    <t>02938930589</t>
  </si>
  <si>
    <t>Z2D21B99A0</t>
  </si>
  <si>
    <t>Servizio di Traduzione e revisione atti e documenti inerenti l'attività istituzionale  della Consob - contratto stipulato a seguito di procedura aperta svolta da AGCM per conto di Consob (Lotto 2 Consob 7920404C23)</t>
  </si>
  <si>
    <t>81874701FC</t>
  </si>
  <si>
    <t>procedura aperta europea in modalità telematica per l’appalto dei servizi di assistenza sanitaria e di medicina preventiva (check-up) per il personale in servizio e in quiescenza della CONSOB e dell’AGCM- LOTTO 1 CONSOB</t>
  </si>
  <si>
    <t>755320806D</t>
  </si>
  <si>
    <t>77764544D9</t>
  </si>
  <si>
    <t>E.T. COSTRUZIONI S.R.L.</t>
  </si>
  <si>
    <t>07981360584</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</si>
  <si>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</si>
  <si>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7862899D82</t>
  </si>
  <si>
    <t>92035990370*03843680376</t>
  </si>
  <si>
    <t>12748521007*07506750582</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</si>
  <si>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</si>
  <si>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00282140029-02937770960-03351210756-00709092583* 08450891000 -10121480015-* 
12339020153 - 04113150967 -  00831370432 -*10111831003 - 00513990010- 03945320962 -  06432561006-* 00967720285 - 01899910242 - 00929440592 - 09826481005 - 02334550288 -* 06310880585 -  07374190580 -  05982771007</t>
  </si>
  <si>
    <t>HP Enterprise Services Italia S.r.l. - Multivendor Service S.r.l. - Links Management and Technology S.p.A.- Open System S.r.l. - * Almaviva S.p.A. - Consorzio Reply Public Sector -* Aubay Italia S.p.A. - Techedge S.p.A. - Ots S.p.A. -* Selex Es S.p.A. - NTT Data Italia S.p.A. - Deloitte Consulting S.r.l. - E-Security S.r.l.-* Engineering Ingegneria Informatica S.p.A. - Engeneering.MO S.p.A. - Infordata S.p.A. - Olisystem ITQ Consulting S.p.A. - SIAV S.p.A.-* Sistemi Informativi S.r.l. - DDWAY S.r.l. - Eustema S.p.A.</t>
  </si>
  <si>
    <t>12878470157*04024850960*07542790634*00488410010*09400381001</t>
  </si>
  <si>
    <t>Fastweb spa*Mitel spa*RDP Telecomunicazioni srl*Telecom Italia spa*Tesy Lab  spa</t>
  </si>
  <si>
    <t>Elips Life Ltd*Poste Vita spa*Generali Italia spa*Groupama</t>
  </si>
  <si>
    <t>13733431004*07066630638* 00409920584*00411140585</t>
  </si>
  <si>
    <t>01778591006*03878640238*05231661009*07776231008*00929440592*01871321004*05032840968</t>
  </si>
  <si>
    <t>COM.TECH s.r.l.*VIRTUAL LOGIC s.r.l.*R1 S.p.A.*H.M.S. IT S.p.A.*INFORDATA S.p.A.*ATLANTICA SISTEMI S.p.A.*MATICMIND S.p.A.</t>
  </si>
  <si>
    <t>97607920150*97288610583</t>
  </si>
  <si>
    <t>Cassa RBM Salute* CASPIE</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</si>
  <si>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</si>
  <si>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</si>
  <si>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AMISSIMA ASSICURAZIONI S.P.A.</t>
  </si>
  <si>
    <t>02019280540</t>
  </si>
  <si>
    <t>04924991005</t>
  </si>
  <si>
    <t>01408650511</t>
  </si>
  <si>
    <t>08333270018</t>
  </si>
  <si>
    <t>06466050017</t>
  </si>
  <si>
    <t>03675290286</t>
  </si>
  <si>
    <t>00700940588</t>
  </si>
  <si>
    <t>01677750158</t>
  </si>
  <si>
    <t>06566820152</t>
  </si>
  <si>
    <t>02717560169</t>
  </si>
  <si>
    <t>00967720285</t>
  </si>
  <si>
    <t>03188950103*06858280586*08619670584*08820850967*05231661009</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</si>
  <si>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</si>
  <si>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Z222BFB1C9</t>
  </si>
  <si>
    <t>Z562BF4152</t>
  </si>
  <si>
    <t>Z102BAA499</t>
  </si>
  <si>
    <t>Acquisto materiale di consumo per servizi igienici</t>
  </si>
  <si>
    <t>Servizio di assistenza tecnica e manutenzione software per la macchina affrancatrice</t>
  </si>
  <si>
    <t>Noleggio e manutenzione triennale di due tappeti personalizzati per sede di Roma dell'Istituto</t>
  </si>
  <si>
    <t>MYO S.P.A.</t>
  </si>
  <si>
    <t>03222970406</t>
  </si>
  <si>
    <t>TAXI1729 O CANOVA PAOLO RIZZUTO DIEGO E ZACCONE SARA S.N.C.</t>
  </si>
  <si>
    <t>10686030015</t>
  </si>
  <si>
    <t>ELIS ITALIA SPA</t>
  </si>
  <si>
    <t>05851410158</t>
  </si>
  <si>
    <t xml:space="preserve">03094350612 </t>
  </si>
  <si>
    <t>06496050151</t>
  </si>
  <si>
    <t>Lease Plan Italia Spa</t>
  </si>
  <si>
    <t xml:space="preserve">Riparazione serranda motorizzata dell'ingresso principale della sede Consob di Roma </t>
  </si>
  <si>
    <t>SER 2015</t>
  </si>
  <si>
    <t>02209620562</t>
  </si>
  <si>
    <t>Z2F2C43848</t>
  </si>
  <si>
    <t>8207676480</t>
  </si>
  <si>
    <t>Servizio di assistenza tecnica e manutenzione apparati Netapp</t>
  </si>
  <si>
    <t>7956416231</t>
  </si>
  <si>
    <t>8234184797</t>
  </si>
  <si>
    <t>Adesione a Convenzione Consip per acqusito n. 270 pc</t>
  </si>
  <si>
    <t>Prestazione dei servizi di Facility Management per la sede Consob di Roma</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</si>
  <si>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</si>
  <si>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</si>
  <si>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</si>
  <si>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</si>
  <si>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</si>
  <si>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</si>
  <si>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</si>
  <si>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Z5D2BCA1A0</t>
  </si>
  <si>
    <t>N. 40 abbonamenti annuali digitali al servizio "la Repubblica +"</t>
  </si>
  <si>
    <t>ZBE2BD55B4</t>
  </si>
  <si>
    <t>Fornitura di quotidiani e periodici cartacei presso la sede Consob di Roma</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</si>
  <si>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</si>
  <si>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</si>
  <si>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</si>
  <si>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</si>
  <si>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RCS Mediagroup spa</t>
  </si>
  <si>
    <t>ZF62C12B8A</t>
  </si>
  <si>
    <t>01924961004*04911190488*01610670356*02615080963*06714021000</t>
  </si>
  <si>
    <t>ALD AUTOMOTIVE ITALIA S.R.L.*ARVAL SERVICE LEASE ITALIA S.P.A. A SOCIO UNICO*CAR SERVER S.P.A.*LEASE PLAN ITALIA SPA*LEASYS S.P.A.</t>
  </si>
  <si>
    <t>02615080963</t>
  </si>
  <si>
    <t>LEASE PLAN ITALIA SPA</t>
  </si>
  <si>
    <t>ZED2CA45A6</t>
  </si>
  <si>
    <t>Z7F2CA4665</t>
  </si>
  <si>
    <t>Servizi per la gestione integrata della salute e della sicurezza sui luoghi di lavoro presso la sede di Roma  - Medicina del lavoro (contratto "ponte")</t>
  </si>
  <si>
    <t>14530191007</t>
  </si>
  <si>
    <t>Sintesi Sanità srl</t>
  </si>
  <si>
    <t>Z372C8DBD3</t>
  </si>
  <si>
    <t>ZC42B761B6</t>
  </si>
  <si>
    <t>Traduzione in lingua ceca</t>
  </si>
  <si>
    <t>traduzione in lingua russa</t>
  </si>
  <si>
    <t>REFINITIV ITALY S.P.A.</t>
  </si>
  <si>
    <t>ZB42B15915</t>
  </si>
  <si>
    <t>Servizio di manutenzione e assistenza sistemi di videoconferenza, Roma e Milano, 18 gennaio 2020 - 31 gennaio 2021.</t>
  </si>
  <si>
    <t>Fornitura di n. 170 PC portatili in adesione alla convenzione Consip "Pc Portatili e Tablet 3"</t>
  </si>
  <si>
    <t>INFORDATA SPA</t>
  </si>
  <si>
    <t>Realizzazione di iniziativa finanziaria in occasione relazione annuale ACF</t>
  </si>
  <si>
    <t>Z312434375</t>
  </si>
  <si>
    <t>Acquisizione n. 3 server DELL per la sede di Roma componenti accessori e servizi complementari e di manutenzione</t>
  </si>
  <si>
    <t>Z8F2CA5F4C</t>
  </si>
  <si>
    <t>Acquisto servizio per l'accesso da remoto alle Banche Dati Bloomberg (RM n.4, MI n. 1) per 24 mesi</t>
  </si>
  <si>
    <t>01287540445</t>
  </si>
  <si>
    <t>INTRAWELT DI ALESSANDRO POTALIVO &amp; C. S.A.S.</t>
  </si>
  <si>
    <t>05850080630</t>
  </si>
  <si>
    <t>ROMEO GESTIONI S.P.A.</t>
  </si>
  <si>
    <t>‭8283313620‬</t>
  </si>
  <si>
    <t>‭Z442CASF5C‬</t>
  </si>
  <si>
    <t>‭Z422C8E4AC‬</t>
  </si>
  <si>
    <t>‭ZEA2C3EA3E‬</t>
  </si>
  <si>
    <t>‭5773907AC7‬</t>
  </si>
  <si>
    <t>‭ZCC2CFFD6B‬</t>
  </si>
  <si>
    <t>‭Z912D21680‬</t>
  </si>
  <si>
    <t>‭82065123F0‬</t>
  </si>
  <si>
    <t>‭ZEB2D08150‬</t>
  </si>
  <si>
    <t>‭Z9B2CFFDF0‬</t>
  </si>
  <si>
    <t>‭82052778C7‬</t>
  </si>
  <si>
    <t>R1 S.P.A</t>
  </si>
  <si>
    <t>Oneri di pubblicazione Gara Europea per l'affidamento del contratto di assicurazione contro i rischi di morte e invalidità civile per il personae 2021 - 2025 - Poligrafico</t>
  </si>
  <si>
    <t>Servizio "Postaonline tramite collegamento Host to Host"servizi di spedizione di n. 1500 raccomandate A.R. estere e di n. 800 raccomandate A.R a soggetti residenti in Italia</t>
  </si>
  <si>
    <t>POSTE ITALIANE SPA</t>
  </si>
  <si>
    <t>Noleggio - LOTTO 3- n. 2 fotocopiatrici  a colori - Adesione convenzione Consip "Apparecchiature multifunzione 31 - noleggio " dal 1° maggio 2020 al 30 aprile 2025 - ROMA</t>
  </si>
  <si>
    <t>KYOCERA DOCUMENT SOLUTIONS ITALIA SPA</t>
  </si>
  <si>
    <t>Noleggio software Brokerinfo, 07 giugno 2020 - 6 giugno 2021.</t>
  </si>
  <si>
    <t>Servizio di vigilanza armata sede di Roma dal 01/04 al 30/11/2020 - proroga tecnica</t>
  </si>
  <si>
    <t>INTERNATIONAL SECURITY SERVICE VIGILANZA SPA</t>
  </si>
  <si>
    <t>Acquisto di licenze di librerie grafiche Vaadin Opzione "Pro".</t>
  </si>
  <si>
    <t>Acquisto software di progettazione Lucidchart Opzione Team per 10 sviluppatori.</t>
  </si>
  <si>
    <t>Fornitura e posa in opera di una nuova centrale antincendio per l'impianto di rilevazione della sede di Roma.</t>
  </si>
  <si>
    <t>RTI ROMEO GESTIONI SPA</t>
  </si>
  <si>
    <t>Fornituta Energia Elettrica Convenzione Consip Energia Elettrica 17  dal 01 maggio 2020 al 30 Aprile 2021 per la sede di Roma</t>
  </si>
  <si>
    <t>VAADIN LTD</t>
  </si>
  <si>
    <t>Spostamento porta di accesso al locale UPS, piano secondo interrato sede di Roma.</t>
  </si>
  <si>
    <t>EMITRON SRL</t>
  </si>
  <si>
    <t>GETCONNECTED SRL</t>
  </si>
  <si>
    <t>ICARIA S.R.L.</t>
  </si>
  <si>
    <t>81036027EA</t>
  </si>
  <si>
    <r>
      <t xml:space="preserve">Sistema informatico di analisi semantica basato sulla tecnologia </t>
    </r>
    <r>
      <rPr>
        <i/>
        <sz val="11"/>
        <rFont val="Calibri"/>
        <family val="2"/>
        <scheme val="minor"/>
      </rPr>
      <t>Cogito</t>
    </r>
  </si>
  <si>
    <t>02608970360</t>
  </si>
  <si>
    <t>Expert System spa</t>
  </si>
  <si>
    <t>8330918B02</t>
  </si>
  <si>
    <t>Affidamento in concessione del servizio di gestione di distributori automatici di bevande e prodotti alimentari presso la sede Consob di Roma (Lotto 1)</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</si>
  <si>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</si>
  <si>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</si>
  <si>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</si>
  <si>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</si>
  <si>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</si>
  <si>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</si>
  <si>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</si>
  <si>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8263465B08</t>
  </si>
  <si>
    <t>8318936B26</t>
  </si>
  <si>
    <t>Piattaforma Rassegna Stampa</t>
  </si>
  <si>
    <t>8338091A5B</t>
  </si>
  <si>
    <t>Adesione alla conv. Consip FAcility Management 4 - lotto 11 - sede Consob di Roma</t>
  </si>
  <si>
    <t>ZF32D365C3</t>
  </si>
  <si>
    <t>Z942CF8956</t>
  </si>
  <si>
    <t>Servizio di asilo nido anno pedagogico 2020-2021 senza obbligo di convenzionamento da parte Consob (importo stimato sulla base dei potenziali posti messi a disposizione)</t>
  </si>
  <si>
    <t>ZE02CF8840</t>
  </si>
  <si>
    <t>Z212CB2FE7</t>
  </si>
  <si>
    <t>copertura assicurativa COVID-19</t>
  </si>
  <si>
    <t>Z582C96DFC</t>
  </si>
  <si>
    <t>traduzione in lingua ceca</t>
  </si>
  <si>
    <t xml:space="preserve">Gara europea a procedura aperta per  l'affidamento del contratto di assicurazione contro i rischi di morte e invalidità permanente per il personale della CONSOB </t>
  </si>
  <si>
    <t>00902170018*00320160237*13733431004*00409920584*07066630638*00875360018*00818570012*</t>
  </si>
  <si>
    <t>AXA Assicurazioni S.p.A. * Elips Life Ltd sede secondaria italiana*Generali Italia S.p.A.* Poste Vita S.p.A.*Reale Mutua di Assicurazioni*Società Cattolica di Assicurazione società cooperativa* UnipolSai Assicurazioni S.p.A*</t>
  </si>
  <si>
    <t>CASSA RBM SALUTE</t>
  </si>
  <si>
    <t>BM ENGINEERING*DAI S.R.L.*ETS S.R.L.*G.I.A. S.R.L.*ICARIA S.R.L.*LA SIA S.R.L.*STUDIO AMATI*STUDIO VALLE PROGETTAZIONI*ICARIA S.R.L.</t>
  </si>
  <si>
    <t>8227151001*14823911004*2245480591*7493171008*3641991009*8207411003*5299421007*4524241009*3641991009</t>
  </si>
  <si>
    <t>Casa dell’ape maia (Roma)</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</si>
  <si>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</si>
  <si>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</si>
  <si>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07947601006*11205571000*01103180582*04808921003*05617631006*13309491002*00981850597</t>
  </si>
  <si>
    <t>Z622A66469</t>
  </si>
  <si>
    <t>ZC92525E37</t>
  </si>
  <si>
    <t>EDIZIONI BELPAESE SRLS</t>
  </si>
  <si>
    <t>04637850753</t>
  </si>
  <si>
    <t>ZAA29FD991</t>
  </si>
  <si>
    <t>AXWAY</t>
  </si>
  <si>
    <t>13014760154</t>
  </si>
  <si>
    <t>Z082A663AF</t>
  </si>
  <si>
    <t>Z4923DD0D6</t>
  </si>
  <si>
    <t>Rappresentazione online "Occhio alle truffe!" il 21 maggio 2020, ore 16 (BICOCCA- Milano) + rappresentazioni teatrali piano Educazione Fin.ria 25.11.19/6.12.19/11.02.20 e 12.02.20.</t>
  </si>
  <si>
    <t>80513307B2</t>
  </si>
  <si>
    <t>Servizio di manutenzione di n. 12 server</t>
  </si>
  <si>
    <t>01446670380*01490000120*04606020875*05231661009*01511090126</t>
  </si>
  <si>
    <t>Centro Computer spa*ELMEC Informatica spa*ETT di TORRISI Felice &amp; C. sas*R1 spa*Soluzione Informatica srl</t>
  </si>
  <si>
    <t>75514440BA</t>
  </si>
  <si>
    <r>
      <t xml:space="preserve">Casa Religiosa Istituto di Cultura e di Lingue per l'educazione e istruzione nelle Scuole delle Suore Marcelline (Milano) </t>
    </r>
    <r>
      <rPr>
        <sz val="12"/>
        <rFont val="Times-Italic"/>
      </rPr>
      <t> </t>
    </r>
  </si>
  <si>
    <t>‭Z122E56BFE‬</t>
  </si>
  <si>
    <t>Fornitura di 65 cuffie telefoniche per il personale in telelavoro 2020-2021.</t>
  </si>
  <si>
    <t>EZDIRECT SRL</t>
  </si>
  <si>
    <t>‭Z722DC6F37‬</t>
  </si>
  <si>
    <t>Rinnovo convenzione Banca dati Italgiureweb 01 agosto 2020 - 31 luglio 2021.</t>
  </si>
  <si>
    <t>‭Z1E2DF1D74‬</t>
  </si>
  <si>
    <t>Acquisizione server virtuale per conservazione materiale bibliografico,1 settembre 2020 - 31 dicembre 2021.</t>
  </si>
  <si>
    <t>ARUBA SPA</t>
  </si>
  <si>
    <t>‭Z992DEF803‬</t>
  </si>
  <si>
    <t>Acquisto di due certificati digitali: "Geotrust True Business ID Wildcard e Geotrust True Business ID Multidomain" per 24 mesi dal 01 ott. 2020 al 30 sett. 2022</t>
  </si>
  <si>
    <t>TRUST ITALIA SPA</t>
  </si>
  <si>
    <t>‭Z002DA1DB3‬</t>
  </si>
  <si>
    <t>Test sierologici per il personale e la Commissione sede di Roma entro il 31 dicembre 2020.</t>
  </si>
  <si>
    <t>BIOS SPA</t>
  </si>
  <si>
    <t>‭ZA32DCF6FB‬</t>
  </si>
  <si>
    <t>Fornitura di 850 licenze d'uso software antispam "Symantec Messaging Gateway" per le caselle di posta elettronica Consob</t>
  </si>
  <si>
    <t>NSR S.R.L.</t>
  </si>
  <si>
    <t>TIPOGRAFIA EUROSIA S.R.L.</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</si>
  <si>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</si>
  <si>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</si>
  <si>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</si>
  <si>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</si>
  <si>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</si>
  <si>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</si>
  <si>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HP Italy S.r.l.</t>
  </si>
  <si>
    <t>08954150960</t>
  </si>
  <si>
    <t>Z832DB3C02</t>
  </si>
  <si>
    <t>Acquisizione di n. 1500 risme di carta A4</t>
  </si>
  <si>
    <t>Z302DEEE57</t>
  </si>
  <si>
    <t>Fornitura di n. 20.000 mascherine chirurgiche</t>
  </si>
  <si>
    <t>POLONORD ADESTE</t>
  </si>
  <si>
    <t>02052230394</t>
  </si>
  <si>
    <t>01739090460</t>
  </si>
  <si>
    <t>07155490589</t>
  </si>
  <si>
    <t>84054848D2</t>
  </si>
  <si>
    <t xml:space="preserve">Gara pubblicazioni periodiche italiane ed estere </t>
  </si>
  <si>
    <t>ZD42E4FAE</t>
  </si>
  <si>
    <t>Acquisizione del servizio Oracle per la pianificazione, la programmazione ed il reporting</t>
  </si>
  <si>
    <t>845637770E</t>
  </si>
  <si>
    <t>Posto opratore e aggiornamento centrali telefoniche</t>
  </si>
  <si>
    <t>Z702E54F67</t>
  </si>
  <si>
    <t xml:space="preserve">Servizi di verifica dell'impianto elettrico di messa a terra della Sede Consob di Roma </t>
  </si>
  <si>
    <t>E.L.T.I. S.R.L.</t>
  </si>
  <si>
    <t xml:space="preserve">ORACLE ITALIA S.R.L. </t>
  </si>
  <si>
    <t>840896409E</t>
  </si>
  <si>
    <t>EUDAIMON S.P.A.</t>
  </si>
  <si>
    <t>TOMWARE S.C.A R.L. Consorzio stabile</t>
  </si>
  <si>
    <t>02252270398</t>
  </si>
  <si>
    <t>82912468A4</t>
  </si>
  <si>
    <t>Z7F2D5CAAA</t>
  </si>
  <si>
    <t>Incontro annuale della CONSOB con il mercato finanziario: integrazione servizi del 16.06.2020.</t>
  </si>
  <si>
    <t>Z8B2A1B0A9</t>
  </si>
  <si>
    <t>Manutenzione Axway per le componenti software "Synchrony Gateway e Synchrony Sentinel V.3" per il 2020</t>
  </si>
  <si>
    <t>83540647B2</t>
  </si>
  <si>
    <t>Acquisizione subscription Liferay ex art. 60 del d.lgs. n. 50/2016 tramite protocollo di intesa e accordo attuativo tra BdI-IVASS-CONSOB</t>
  </si>
  <si>
    <t>SMC TREVISO S.R.L.</t>
  </si>
  <si>
    <t>CONTRATTO per il servizio di gestione di un piano  FLEXIBLE BENEFIT in favore del personale della CONSOB (Lotto 2 CIG 8085365E42  della procedura aperta  svolta da Banca d'Italia per conto della Consob)</t>
  </si>
  <si>
    <t>Celdes S.r.l.*EBSCO information Services S.r.l.</t>
  </si>
  <si>
    <t>Z822E82AC8</t>
  </si>
  <si>
    <t>Servizi di posta elettronica certificata 1/10/2020-30/9/2021</t>
  </si>
  <si>
    <t>TRENITALIA SPA</t>
  </si>
  <si>
    <t>CANONE PEDAGGIO AUTOSTRADALE</t>
  </si>
  <si>
    <t>Z8823DD126</t>
  </si>
  <si>
    <t>Z9E29C8E12</t>
  </si>
  <si>
    <t>SERVIZIO CORRIERE TRA LE SEDI RI RM/MI</t>
  </si>
  <si>
    <t>DNA GROUP SRL</t>
  </si>
  <si>
    <t>Servizi per la gestione integrata della salute e della sicurezza sui luoghi di lavoro presso la sede di Roma (contratto "ponte" 1 maggio 2020 al 31 ottobre 2020)</t>
  </si>
  <si>
    <t>7911853BA1</t>
  </si>
  <si>
    <r>
      <t xml:space="preserve">Fornitura di </t>
    </r>
    <r>
      <rPr>
        <i/>
        <sz val="11"/>
        <rFont val="Calibri"/>
        <family val="2"/>
        <scheme val="minor"/>
      </rPr>
      <t>switch</t>
    </r>
    <r>
      <rPr>
        <sz val="11"/>
        <rFont val="Calibri"/>
        <family val="2"/>
        <scheme val="minor"/>
      </rPr>
      <t>, componenti accessori e servizi complementari</t>
    </r>
  </si>
  <si>
    <t>04606020875*02504501210*05032840968*00488410010*02517580920</t>
  </si>
  <si>
    <t>ETT di Torrisi felice &amp; Co. Sas*Gepinformatica Srl*Maticmind Spa*Tim Spa*Windtre Spa</t>
  </si>
  <si>
    <t>09771701001</t>
  </si>
  <si>
    <t>Telepass spa</t>
  </si>
  <si>
    <t>07516911000</t>
  </si>
  <si>
    <t>Autostrade per l'Italia spa</t>
  </si>
  <si>
    <t>Z062AF6F03</t>
  </si>
  <si>
    <t>Corso di formazione in n. 30 giornate per il personale della Divisione Infrastrutture Informative</t>
  </si>
  <si>
    <t>00518460019</t>
  </si>
  <si>
    <t>Politecnico di Torino</t>
  </si>
  <si>
    <t>Z2A2A27AF7</t>
  </si>
  <si>
    <t>Fornitura biennale della piattaforma telematica di negoziazione "Tuttogare"  per le esigenze dell'Istituto</t>
  </si>
  <si>
    <t>Studio Amica srl</t>
  </si>
  <si>
    <t>Noleggio autovettura Fiat Panda 1.2 69 CV Easypower E6 d Temp Easy (gpl) senza conducente tramite adesione al Lotto 4 della Convenzione Consip "Veicoli in Noleggio 14", dal 10 maggio 2020 per 48 mesi per le esigenze della sede Consob di Roma.</t>
  </si>
  <si>
    <t>Noleggio 48 mesi VW
Passat 1.4 Ibrida Plug-in per le esigenze della sede di Roma, 23 giugno 2020 - 22 giugno 2024.</t>
  </si>
  <si>
    <t>8272047521</t>
  </si>
  <si>
    <t>03901021000*07200021009*04991070485*02787771217*01647310562*13008381009</t>
  </si>
  <si>
    <t>GIOLITTI CATERING SRL*LA PICCOLA GIAN.DES.*PIRENE SRL* RI.CA. SRL*PROMOTUSCIA VIAGGI E CONGRESSI SRL*VERTEC SRL</t>
  </si>
  <si>
    <t>GIOLITTI CATERING SRL</t>
  </si>
  <si>
    <t>01038120306</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</si>
  <si>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</si>
  <si>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</si>
  <si>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</si>
  <si>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</si>
  <si>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</si>
  <si>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Telpress Italia Srl*Data Stampa Srl</t>
  </si>
  <si>
    <t>00735000572*04982350581</t>
  </si>
  <si>
    <t>‭Z2A2F0A946‬</t>
  </si>
  <si>
    <t>Servizi di Abbonamento notiziario "Adnkronos" anno 2021</t>
  </si>
  <si>
    <t>‭8501111AB7‬</t>
  </si>
  <si>
    <t>Acquisizione del Servizio di supporto e manutenzione e delle licenze d'uso Oracle anno 2021 - Punto n. 24-2020 del Piano Biennale delle Acquisizioni 2020-2021.</t>
  </si>
  <si>
    <t>ORACLE ITALIA SRL</t>
  </si>
  <si>
    <t>‭Z252F6E130‬</t>
  </si>
  <si>
    <t>Abbonamento banche dati Telemaco e EBR anno 2021.</t>
  </si>
  <si>
    <t>‭Z842E9CC05‬</t>
  </si>
  <si>
    <t>Abbonamento alla Banca Dati "Data feed Morningstar" anno 2021.</t>
  </si>
  <si>
    <t>‭Z1D2F943D3‬</t>
  </si>
  <si>
    <t>TELECOM ITALIA SPA</t>
  </si>
  <si>
    <t>‭8506596915‬</t>
  </si>
  <si>
    <t>Manutenzione prodotti software "Axway Gateway" biennio 2021-2022.</t>
  </si>
  <si>
    <t>‭Z5F2F6C89F‬</t>
  </si>
  <si>
    <t>‭Z182F6C918‬</t>
  </si>
  <si>
    <t>‭Z442F0AA66‬</t>
  </si>
  <si>
    <t>Servizi di abonamento al notiziario "Ansa" anno 2021</t>
  </si>
  <si>
    <t>‭Z2A2F21216‬</t>
  </si>
  <si>
    <t>Honeywell - Manutenzione del sistema controllo accessi e rilevazione presenze per gli anni 2021 e 2022.</t>
  </si>
  <si>
    <t>‭85344968E4‬</t>
  </si>
  <si>
    <t>Acquisizione dei servizi Refinitiv per l'anno 2021.</t>
  </si>
  <si>
    <t>‭‬Z3B2F0A9EF</t>
  </si>
  <si>
    <t>Servizi di abonamento al notiziario "Askanews" anno 2021</t>
  </si>
  <si>
    <t>ASCA: ASKANEWS SPA</t>
  </si>
  <si>
    <t>‭8494733B6C‬</t>
  </si>
  <si>
    <t>MEPA - Servizio di manutenzione dei sistemi HPE, 01-gennaio 2021 - 31 dicembre 2024 - 2 offerte</t>
  </si>
  <si>
    <t>04472901000*05231661009</t>
  </si>
  <si>
    <t>Converge S.p.A.*R1 S.p.A.</t>
  </si>
  <si>
    <t>CONVERGE SPA</t>
  </si>
  <si>
    <t>‭8518283581‬</t>
  </si>
  <si>
    <t>Servizio di Abbonamento al notiziario "RCO-Radiocor" anno 2021</t>
  </si>
  <si>
    <t>‭Z562EC1B97‬</t>
  </si>
  <si>
    <t>Servizio di abbonamento alla banca dati "DCM Manager" anno 2021.</t>
  </si>
  <si>
    <t>‭Z832F0EE5D‬</t>
  </si>
  <si>
    <t>‭Z2F2F946B7‬</t>
  </si>
  <si>
    <t>Test sierologici Roma per il periodo dal 1° gennaio 2021 al 30 giugno 2021.</t>
  </si>
  <si>
    <t>‭84793504FA‬</t>
  </si>
  <si>
    <t>MEPA Servizio di manutenzione server Oracle 2021 sedi di Roma e Milano- 1 offerta</t>
  </si>
  <si>
    <t>‭Z772F740D3‬</t>
  </si>
  <si>
    <t>Registrazione al Social Science Reserch Network ((SSRN), triennio 2021-2024.</t>
  </si>
  <si>
    <t>ELSEVIER SCIENCE</t>
  </si>
  <si>
    <t>‭84555089EE‬</t>
  </si>
  <si>
    <t>Abbonamento al database "ORBIS" anno 2021.</t>
  </si>
  <si>
    <t>‭Z242E7F503‬</t>
  </si>
  <si>
    <t>Abbonamento alla banca dati Genio Compliance anno 2021.</t>
  </si>
  <si>
    <t>‭Z7C2FE28FA‬</t>
  </si>
  <si>
    <t>Rinnovo n.8 utenze notiziario "Breakingviews" anno 2021.</t>
  </si>
  <si>
    <t>‭ZC52F86F3E‬</t>
  </si>
  <si>
    <t>n. 5 licenze notiziario Italian News Service anno 2021.</t>
  </si>
  <si>
    <t>‭ZB92ED6442‬</t>
  </si>
  <si>
    <t>Banca dati Market Connect Web - anno 2021.</t>
  </si>
  <si>
    <t>‭Z702ED5D54‬</t>
  </si>
  <si>
    <t>Banca dati Infront Professional Terminal - anno 2021.</t>
  </si>
  <si>
    <t>‭Z452F5C0BB‬</t>
  </si>
  <si>
    <t>Adesione a CERTFin per la Cybersecurity anno 2021</t>
  </si>
  <si>
    <t>‭Z582F5C1EE‬</t>
  </si>
  <si>
    <t>Adesione a Osservatorio Business Continuity per la Cybersecurity anno 2021</t>
  </si>
  <si>
    <t>Abbonamento banca dati "BackOnline"  anno 2021.</t>
  </si>
  <si>
    <t>Abbonamento banca dati "KeyData Loader" anno 2021.</t>
  </si>
  <si>
    <t>Z8A2F12146</t>
  </si>
  <si>
    <t>Acquisizione di n. 1.000 mascherine riutilizzabili con grafica personalizzata</t>
  </si>
  <si>
    <t>Z772EA24AE</t>
  </si>
  <si>
    <t>Fornitura di n. 800 righelli,in legno da 30 cm con grafica personalizzata;</t>
  </si>
  <si>
    <t>MEAD INFORMATICA S.R.L.*TECHNO CENTER S.P.A.</t>
  </si>
  <si>
    <t>01604010353*09319261005</t>
  </si>
  <si>
    <t>Z822FA2324</t>
  </si>
  <si>
    <t xml:space="preserve">Fornitura di n. 2 videoproiettori mod. "EPSON modello FH06" e relativi accessori </t>
  </si>
  <si>
    <t>Team Office S.r.l.</t>
  </si>
  <si>
    <t>Piresti Srl</t>
  </si>
  <si>
    <t>07109591003</t>
  </si>
  <si>
    <t>Multidesign S.r.l.</t>
  </si>
  <si>
    <t>‭Z592F5D6CA‬</t>
  </si>
  <si>
    <t>Supporto linguistico per la Global Conference  del 1° dicembre 2020.</t>
  </si>
  <si>
    <t>‭Z442F2E40D‬</t>
  </si>
  <si>
    <t>Rinnovo abbonamento notiziario Alliance News anni 2021 e 2022.</t>
  </si>
  <si>
    <t>‭Z4B2F9CDB9‬</t>
  </si>
  <si>
    <t>Incarico di traduzione in lingua portoghese lettera di contestazione.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</si>
  <si>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</si>
  <si>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</si>
  <si>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</si>
  <si>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</si>
  <si>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</si>
  <si>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</si>
  <si>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ITD Solution SpA</t>
  </si>
  <si>
    <t>05773090013</t>
  </si>
  <si>
    <t>8522514908</t>
  </si>
  <si>
    <t>Servizio di manutenzione per i sistemi DELL presso le sedi Consob di Roma e Milano</t>
  </si>
  <si>
    <t>outsourcing servizi di svilupo, manutenzione e gestione dei sistemi informativi della Consob - Lotto 1</t>
  </si>
  <si>
    <t>77610740E0</t>
  </si>
  <si>
    <t>7761072F35</t>
  </si>
  <si>
    <t xml:space="preserve">ZF22E88E95 </t>
  </si>
  <si>
    <t>Fornitura e posa in opera paratie in plexiglass per le postazioni di lavoro delle stanze
620, 621 e 622 della sede Consob di Roma</t>
  </si>
  <si>
    <t xml:space="preserve">Z632EB2513 </t>
  </si>
  <si>
    <t>Fornitura di licenza Autocad LT 2021 (sottoscrizione triennale)</t>
  </si>
  <si>
    <t>03929361008</t>
  </si>
  <si>
    <t>DESCOR</t>
  </si>
  <si>
    <t>NEONANGHER SRL</t>
  </si>
  <si>
    <t>04075031007</t>
  </si>
  <si>
    <t>8483703D2D</t>
  </si>
  <si>
    <t>Contratto attuativo Consob - affidamento incarico responsabile amianto 2020-2022</t>
  </si>
  <si>
    <t>8483663C2B</t>
  </si>
  <si>
    <t>Accordo quadro affidamento incarico responsabile amianto 2020-2022 per le esigenze della Consob e dell'AGCM</t>
  </si>
  <si>
    <t>ACQUISTO BIGLIETTERIA FERROVIARIA 2020</t>
  </si>
  <si>
    <t>Integrazione licenze Microsoft tramite noleggio 18 mesi n. 682 licenze M365 E3 n. 18 licenze M365 E5 (01 gennaio 2021 - 30 giugno 2022).  (conv. Consip MSEA 5)</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</si>
  <si>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</si>
  <si>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</si>
  <si>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</si>
  <si>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</si>
  <si>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</si>
  <si>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</si>
  <si>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</si>
  <si>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</si>
  <si>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</si>
  <si>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</si>
  <si>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ZF32F80FCA</t>
  </si>
  <si>
    <t>Affidamento servizio di assistenza medica telefonica per le esigenze del personale Consob delle sedi di Roma e Milano</t>
  </si>
  <si>
    <t>03620010987</t>
  </si>
  <si>
    <t>Innova S.r.l.</t>
  </si>
  <si>
    <t>ZD92E9ECBC</t>
  </si>
  <si>
    <t>Policlinico Universiatrio Campus Bio-Medico di Roma</t>
  </si>
  <si>
    <t>ZE82F30382</t>
  </si>
  <si>
    <t>Convenzione per l’effettuazione di vaccini antinfluenzali per il personale Consob della sede di Roma</t>
  </si>
  <si>
    <t>01202150320</t>
  </si>
  <si>
    <t>Generali Welion S.c.a.r.l.</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</si>
  <si>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</si>
  <si>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</si>
  <si>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</si>
  <si>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</si>
  <si>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Engineering Ingegneria Informatica S.p.A*IBM ITALIA S.p.A.*Sistemi Informativi S.r.l.*Open System S.r.l.</t>
  </si>
  <si>
    <t>00967720285*01442240030*06310880585*07090920583</t>
  </si>
  <si>
    <t>RDO per Servizi tecnici per adeguamento impiantistico Auditorium Sede Consob/AGCM in Roma.</t>
  </si>
  <si>
    <t>Z732F511DC</t>
  </si>
  <si>
    <t>Servizio di impaginazione e restyling grafico del Report Consob di prossima uscita</t>
  </si>
  <si>
    <t>‭Z803053814‬</t>
  </si>
  <si>
    <t>Pubblicazione in GU e su 4 quotidiani avviso di aggiudicazione manutenzione Oracle 2021 - IPZS</t>
  </si>
  <si>
    <t>‭Z6A30189CD‬</t>
  </si>
  <si>
    <t>Pubblicazioni in GU e 4 quotidiani nazionali/locali aggiudicazione Refinitiv 2021 - IPZS</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</si>
  <si>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</si>
  <si>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</si>
  <si>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</si>
  <si>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</si>
  <si>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</si>
  <si>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</si>
  <si>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</si>
  <si>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</si>
  <si>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</si>
  <si>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</si>
  <si>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</si>
  <si>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</si>
  <si>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</si>
  <si>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‭ZBA3060FBA‬</t>
  </si>
  <si>
    <t>Pubblicazione in GU e su 4 quotidiani avviso di aggiudicazione manutenzione Oracle 2021 - Il Corriere della Sera</t>
  </si>
  <si>
    <t>CAIRORCS MEDIA S.P.A.</t>
  </si>
  <si>
    <t>‭Z3A3035B55‬</t>
  </si>
  <si>
    <t>Pubblicazioni in GU e 4 quotidiani nazionali/locali aggiudicazione Refinitiv 2021 - Il Corriere della sera</t>
  </si>
  <si>
    <t>‭86821500D6‬</t>
  </si>
  <si>
    <t>Servizio Microsoft Supporto Premier per 12 mesi dalla aggiudicazione.</t>
  </si>
  <si>
    <t>MICROSOFT SRL</t>
  </si>
  <si>
    <t>MICROSOFT S.R.L.</t>
  </si>
  <si>
    <t>Z03311DB45</t>
  </si>
  <si>
    <t>Z133115C33</t>
  </si>
  <si>
    <t>Z4930C1CCE</t>
  </si>
  <si>
    <t>ZB6306BD2C</t>
  </si>
  <si>
    <t>ZD63031E6E</t>
  </si>
  <si>
    <t>ZAE3018C71</t>
  </si>
  <si>
    <t>Acquisto di n. 20 licenze del programma “Nitro Productivity Suite”</t>
  </si>
  <si>
    <t>Fornitura di n. 2.100 risme di carta ad uso stampa, riciclata al 100% formato A4, per le esigenze della sede Consob di Roma</t>
  </si>
  <si>
    <t>Fornitura di n.200 lettori di SmartCard per la scheda di firma digitale modello BIT4ID miniLector EVO.</t>
  </si>
  <si>
    <t>Acquisizione di n. 25 paretine di protezione per scrivania</t>
  </si>
  <si>
    <t>8619032A34</t>
  </si>
  <si>
    <t>86391682F7</t>
  </si>
  <si>
    <t>Fornitura apparati per videoconferenze con servizio manutenzione</t>
  </si>
  <si>
    <t>Z0F30F0218</t>
  </si>
  <si>
    <t>Servizio Abbonamento alla Banca dati "L'Approccio alla finanza e agli investimenti delle famiglie italiane" anno 2021</t>
  </si>
  <si>
    <t>8585820ACB</t>
  </si>
  <si>
    <t>8592797866</t>
  </si>
  <si>
    <t>SERVIZIO DI MANUTENZIONE ORDINARIA DELLE LICENZE D'USO SOFTWARE DEMACO 2021-2023 CON OPZIONE PER UN ULTERIORE ANNO</t>
  </si>
  <si>
    <t>8660984618</t>
  </si>
  <si>
    <t>8664305AAA</t>
  </si>
  <si>
    <t>868863693E</t>
  </si>
  <si>
    <t>Noleggio annuale software Brokerinfo 2021-2022</t>
  </si>
  <si>
    <t>Z0130BDC4C</t>
  </si>
  <si>
    <t>Manutenzione 2 licenze network software Mathematica</t>
  </si>
  <si>
    <t>ZA330BE2B4</t>
  </si>
  <si>
    <t>Abbonamento alla banca dati "Market Connect Feed Argo" 1/3/21-31/8/21</t>
  </si>
  <si>
    <t>Z4930C3260</t>
  </si>
  <si>
    <t>Servizio manutenzione apparati videoconferenze anno 2021</t>
  </si>
  <si>
    <t>CLEVERBRIDGE AG</t>
  </si>
  <si>
    <t>SWAN ITALIA SRL</t>
  </si>
  <si>
    <t>09973101000</t>
  </si>
  <si>
    <t>CLICK UFFICIO SRL</t>
  </si>
  <si>
    <t>06067681004</t>
  </si>
  <si>
    <t xml:space="preserve"> ERREBIAN SPA</t>
  </si>
  <si>
    <t>02044501001</t>
  </si>
  <si>
    <t>BIT4ID SRL</t>
  </si>
  <si>
    <t>04741241212</t>
  </si>
  <si>
    <t>AGV AUTOMAZIONE SAS</t>
  </si>
  <si>
    <t>Bsistemi SRL</t>
  </si>
  <si>
    <t>028127106002</t>
  </si>
  <si>
    <t>Maticmind S.p.A*Converge S.p.A.*R1 S.p.A.</t>
  </si>
  <si>
    <t>05032840968*04472901000*05231661009</t>
  </si>
  <si>
    <t>Z983110387</t>
  </si>
  <si>
    <t>STOXX  Ltd</t>
  </si>
  <si>
    <t>‭ZBB31312A6‬</t>
  </si>
  <si>
    <t>Abbonamento alla Banca dati Mediaddress dal 30 aprile 2021 al 29 aprile 2023.</t>
  </si>
  <si>
    <t>Licenza di accesso alle composizioni di indici calcolati da Qontigo-Stoxx sul mercato azionario europeo</t>
  </si>
  <si>
    <t>Z3530878DF</t>
  </si>
  <si>
    <t>ZB4306110D</t>
  </si>
  <si>
    <t>pubblicazione avviso aggiudicazione manutenzione licenze Oracle su Il Sole 24 ore e Il Tempo</t>
  </si>
  <si>
    <t>ZCB3061063</t>
  </si>
  <si>
    <t>pubblicazione avviso aggiudicazione manutenzione licenze Oracle su Italia Oggi</t>
  </si>
  <si>
    <t>Z123035B56</t>
  </si>
  <si>
    <t>System24 - pubblicazione su "Il Tempo" - aggiudicazione Refinitiv 2021</t>
  </si>
  <si>
    <t>Z623035B54</t>
  </si>
  <si>
    <t>Class it - pubblicazione su "ItaliaOggi" - aggiudicazione Refinitiv 2021</t>
  </si>
  <si>
    <t>Z8A3035B53</t>
  </si>
  <si>
    <t>System24 - pubblicazione su "Il Sole 24 ore" - aggiudicazione Refinitiv 2021</t>
  </si>
  <si>
    <t>ZF430283C2</t>
  </si>
  <si>
    <t>servizio di brokeraggio (senza oneri per Consob) per l'affidamento delle coperture RCT/O e All Risk</t>
  </si>
  <si>
    <t>GENERALI ITALIA S.P.A.</t>
  </si>
  <si>
    <t xml:space="preserve">09627810154 </t>
  </si>
  <si>
    <t>VIRAS S.R.L.</t>
  </si>
  <si>
    <t>00409920584</t>
  </si>
  <si>
    <t>02269520645</t>
  </si>
  <si>
    <t>POLIZIOTTO NOTTURNO S.R.L.</t>
  </si>
  <si>
    <t>Cassa PreviMed – Cassa Sanitaria Integrativa al Servizio Sanitario Nazionale</t>
  </si>
  <si>
    <t>97607920150'</t>
  </si>
  <si>
    <t>SIAV SPA</t>
  </si>
  <si>
    <t>Organizzazione percorsi formativi e di orientamento</t>
  </si>
  <si>
    <t>R1 S.p.A.*Tomware S.c.a.r.l.*Arslogica Sistemi S.r.l.</t>
  </si>
  <si>
    <t>05231661009*02252270398*04108030281</t>
  </si>
  <si>
    <t>Z5A3096846</t>
  </si>
  <si>
    <t>Manutenzione 425 licenze Filenet P8</t>
  </si>
  <si>
    <t>Z5D2E82B98</t>
  </si>
  <si>
    <t>Z8D30624EF</t>
  </si>
  <si>
    <t>8616582468</t>
  </si>
  <si>
    <t>Adesione al contratto quadro Consip "SPC Coop", lotto 3 (Progetto "Data lake")</t>
  </si>
  <si>
    <t>08450891000*05481840964*06656421002*11088550964</t>
  </si>
  <si>
    <t>Almaviva spa*Almawave spa*Indra Italia spa*PricewaterhouseCoopers Public Sector srl</t>
  </si>
  <si>
    <t>02-MANDATARIA*01-MANDANTE*01-MANDANTE*01-MANDANTE</t>
  </si>
  <si>
    <t>ZD8309BC3D</t>
  </si>
  <si>
    <t>Fornitura di quotidiani e periodici cartacei presso la sede Consob di Roma 2021/22</t>
  </si>
  <si>
    <t>Servizio sostitutivo di mensa mediante buoni pasto elettronici per la sede Consob di Roma nelle more dell'attivazione della convenzione Consip "Buoni pasto 9"</t>
  </si>
  <si>
    <t>Day Ristoservice S.p.a.</t>
  </si>
  <si>
    <t>Z4B31218D6</t>
  </si>
  <si>
    <r>
      <t xml:space="preserve">N- 30 abbonamenti annuali digitali 2021/22 al quotidiano </t>
    </r>
    <r>
      <rPr>
        <i/>
        <sz val="11"/>
        <rFont val="Calibri"/>
        <family val="2"/>
        <scheme val="minor"/>
      </rPr>
      <t>Corriere della Sera</t>
    </r>
  </si>
  <si>
    <t>85873086BC</t>
  </si>
  <si>
    <t>120066470159</t>
  </si>
  <si>
    <t>BORSA ITALIANA S.p.A.</t>
  </si>
  <si>
    <t>ZF4302BAAA</t>
  </si>
  <si>
    <t>SOSTITUZIONE HARD DISK SCANNER PLANETARIO USO BIBLIOTECA</t>
  </si>
  <si>
    <t>Z992F8CB50</t>
  </si>
  <si>
    <t>Corsera - pubblicazione avviso esito gara comunitaria copertura assicurativa morte e invalidità permanente</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</si>
  <si>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</si>
  <si>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</si>
  <si>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</si>
  <si>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</si>
  <si>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Brescia Roberto</t>
  </si>
  <si>
    <t>Accordo quadro, ex art. 54, comma 3, del d.lgs. 50/2016 s.m.i., interventi di manutenzione edile specificamente e singolarmente ordinati dalla Consob e dall'Agcm (Lotto 1 Consob)</t>
  </si>
  <si>
    <t>Accordo quadro, ex art. 54, comma 3, del d.lgs. 50/2016 s.m.i., interventi di manutenzione edile Consob e Agcm (Lotto 1 Consob) - CIG derivato da CIG Consob 7629964D77 con aumento del quinto</t>
  </si>
  <si>
    <t>‭Z2631606A1‬</t>
  </si>
  <si>
    <t>Acquisto din.  4 Transceiver per le esigenze della sede di Roma.</t>
  </si>
  <si>
    <t>Servizio di manutenzione storage NetApp sedi di Roma e Milano 01 maggio 2021 - 31 gennaio 2023.</t>
  </si>
  <si>
    <t>**</t>
  </si>
  <si>
    <t>‭Z5C31B69FF‬</t>
  </si>
  <si>
    <t>Servizio di delivery per il notiziario MF Dow Jones Professional dal 01-06-2021 al 31-05-2023.</t>
  </si>
  <si>
    <t>‭ZA23175FD7‬</t>
  </si>
  <si>
    <t>Manutenzione assistenza e aggiornamento software TOSCA (Telpress) 09 maggio 2021- 08 maggio 2023.</t>
  </si>
  <si>
    <t>‭ZA1323A7EF‬</t>
  </si>
  <si>
    <t>Manutenzione radiogeni per controllo pacchi e bagagli per la sede di Roma 01 luglio 2021 - 30 giugno 2023.</t>
  </si>
  <si>
    <t>‭ZF231FF21F‬</t>
  </si>
  <si>
    <t>Rinnovo manutenzione n. 6 licenze software Matlab 01 luglio 2021 - 30 giugno 2022.</t>
  </si>
  <si>
    <t>‭8708453ABF‬</t>
  </si>
  <si>
    <t>‭Z1B31E4A75‬</t>
  </si>
  <si>
    <t>Incarico di traduzione in lingua Araba della delibera n. 21854 e della lettera n. 555686 del 19 maggio 2021.</t>
  </si>
  <si>
    <t>STUDIO MORETTO GROUP SRL</t>
  </si>
  <si>
    <t>‭Z613147CB2‬</t>
  </si>
  <si>
    <t>Incarico di traduzione in lingua Estone lettera di contestazione Mindcapital.</t>
  </si>
  <si>
    <t>‭Z8A3154FC3‬</t>
  </si>
  <si>
    <t>Convenzione asili nido anno pedagogico 2021-2022 Roma e Milano.</t>
  </si>
  <si>
    <t>CASA DELL APE MAIA SRLS</t>
  </si>
  <si>
    <t>‭ZC631B6927‬</t>
  </si>
  <si>
    <t>Abbonamento al notiziario MF Dow Jones Professional dal 01-06-2021 al 31-05-2023.</t>
  </si>
  <si>
    <t>MF NEWSWIRES SRL</t>
  </si>
  <si>
    <t>‭8715732194‬</t>
  </si>
  <si>
    <t>Servizio di supporto specialistico RedHat - progetto I3.</t>
  </si>
  <si>
    <t>‭Z4131CD265‬</t>
  </si>
  <si>
    <t>Test sierologici Roma per il periodo dal 1° luglio 2021 al 31 dicembre 2021.</t>
  </si>
  <si>
    <t>‭Z9231DF7D1‬</t>
  </si>
  <si>
    <t>EVOSPACE</t>
  </si>
  <si>
    <t>‭ZE331EE750‬</t>
  </si>
  <si>
    <t>Riparazione dispositivo DENSIMAG</t>
  </si>
  <si>
    <t>ASSYTECH SRL</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</si>
  <si>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</si>
  <si>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</si>
  <si>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</si>
  <si>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</si>
  <si>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</si>
  <si>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</si>
  <si>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</si>
  <si>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</si>
  <si>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</si>
  <si>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‭ZA431B3BB6‬</t>
  </si>
  <si>
    <t>n. 5 lezioni-evento a distanza "Occhio alle truffe! - finanza in palcoscenico".</t>
  </si>
  <si>
    <t>‭Z6D3158A9E‬</t>
  </si>
  <si>
    <t>****</t>
  </si>
  <si>
    <t>09391850964*09315611005*02608470981*06990661008*09586200017</t>
  </si>
  <si>
    <t>Formatlab S.r.l*Genesi S.r.l.*T.immagine*Alexandra cinematografica*Punto Rec</t>
  </si>
  <si>
    <t>PUNTO REC STUDIOS S.R.L.</t>
  </si>
  <si>
    <t>‭Z9F31F9623‬</t>
  </si>
  <si>
    <t>Servizi connessi all'organizzazione dell'incontro annuale della Consob con il mercato finanziario del 14 giugno 2021.</t>
  </si>
  <si>
    <t>‭Z513154F1B‬</t>
  </si>
  <si>
    <t>ISTITUTO DI CULTURA E LINGUE MARCELLINE</t>
  </si>
  <si>
    <t>‭ZE0311D816‬</t>
  </si>
  <si>
    <t>Trattativa diretta sul MEPA, preceduta da indagine di mercato, per l'affidamento della realizzazione di due indagini metodologia "focus group" nell'ambito del progetto di educazione finanziaria.</t>
  </si>
  <si>
    <t>DOXA ISTITUTO PER LE RICERCHE STATISTICHE E L'ANALISI DELL'OPINIONE PUBBLICA S.P.A.</t>
  </si>
  <si>
    <t>‭8692297666‬</t>
  </si>
  <si>
    <t>INNOVERY S.P.A.</t>
  </si>
  <si>
    <t>ACQUISIZIONE DEI SERVIZI DI CONSULENZA ORGANIZZATIVA PER LE ESIGENZE DELLA CONSOB</t>
  </si>
  <si>
    <t>8729837962</t>
  </si>
  <si>
    <t>Sistema di gestione documentale e relativi servizi</t>
  </si>
  <si>
    <t>Fornitura di n. 1 poltrona direzionale per la sede Consob di Roma alla società EvoSpace S.r.l.</t>
  </si>
  <si>
    <t>87010437D3</t>
  </si>
  <si>
    <t>8701130F9C</t>
  </si>
  <si>
    <t>Lotto 1 -  Copertura assicurativa della Consob verso terzi e dipendenti (RCT/O)</t>
  </si>
  <si>
    <t>Lotto 2 - Copertura assicurativa contro i rischi al patrimonio mobile e immobile della Consob (ALL RISK PROPERTY)</t>
  </si>
  <si>
    <t>04268451004 * 00935420158*08586300157</t>
  </si>
  <si>
    <t>Format Research S.r.l.* Doxa S.r.l.* Gfk S.r.l.</t>
  </si>
  <si>
    <t>Z4D31369AD</t>
  </si>
  <si>
    <t>Acquisizione abiti uniforme per operatori</t>
  </si>
  <si>
    <t>TESSIL FORNITURE SRL A SOCIO UNICO</t>
  </si>
  <si>
    <t>00889410247</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</si>
  <si>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</si>
  <si>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</si>
  <si>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8641415140</t>
  </si>
  <si>
    <t>PROCEDURA NEGOZIATA AI SENSI DELL'ART. 1, COMMA 2, LETT. B), D.L.
76/2020, CONV. IN L. 120/2020 PER L’AFFIDAMENTO DEI LAVORI DI
RIQUALIFICAZIONE IMPIANTISTICA DELL’AUDITORIUM CONDIVISO DA
CONSOB E AGCM PRESSO L’IMMOBILE SITO IN ROMA</t>
  </si>
  <si>
    <t>NUOVA CCS SRL</t>
  </si>
  <si>
    <t>05289751009</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</si>
  <si>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</si>
  <si>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</si>
  <si>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Acquisto di licenze di librerie grafiche Vaadin per 10 sviluppatori. dal 07/06/2021 al 06/06/2023</t>
  </si>
  <si>
    <t>AFFIDAMENTO, AI SENSI DELL¿ART. 1, COMMA 2, LETT. A), DEL D.L. 76/2020, CONV. IN L. 120/2020, DEL SERVIZIO DI SVILUPPO E FORNITURA DI VIDEO-PILLOLE DA UTILIZZARSI NELL'AMBITO DELL'ATTIVITÀ ISTITUZIONALE DI EDUCAZIONE FINANZIARIA</t>
  </si>
  <si>
    <t>ZD630FE44B</t>
  </si>
  <si>
    <t>MANUTENZIONE TENDE SEDE DI ROMA</t>
  </si>
  <si>
    <t>TRRDVD34P29H501I</t>
  </si>
  <si>
    <t>DAVIDE TORRENTI</t>
  </si>
  <si>
    <t>Z282F8CB40</t>
  </si>
  <si>
    <t>"ItaliaOggi"- pubblicazione avviso esito copertura assicurativa</t>
  </si>
  <si>
    <t xml:space="preserve"> </t>
  </si>
  <si>
    <t>828898814A‭‬</t>
  </si>
  <si>
    <t>86364228E3</t>
  </si>
  <si>
    <t>12066470159</t>
  </si>
  <si>
    <t>87895863D3</t>
  </si>
  <si>
    <t>Servizi di telefonia mobile (conv. Consip "Telefonia mobile 8")</t>
  </si>
  <si>
    <t>TELECOM ITALIA S.P.A.</t>
  </si>
  <si>
    <t>Z15322E262</t>
  </si>
  <si>
    <t xml:space="preserve">Integrazione licenze Microsoft tramite noleggio in Convenzione Consip </t>
  </si>
  <si>
    <t>13150,80</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</si>
  <si>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</si>
  <si>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</si>
  <si>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</si>
  <si>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Convenzione con Borsa Italiana per l'erogazione di servizi informatici (Argo 1, Broker Info, Flussi Informativi e Data Warehouse 2) - 01.11.2018/28.02.2021 + proroga di 6 mesi</t>
  </si>
  <si>
    <t>81445127EA</t>
  </si>
  <si>
    <t>Acquisizione dei servizi informativi di banche dati e notiziari Refinitiv per l'anno 2020</t>
  </si>
  <si>
    <t>Z4A2D81A4F</t>
  </si>
  <si>
    <t>Accesso da remoto alle banche dati Refinitiv - 4 utenze</t>
  </si>
  <si>
    <t>03771690967</t>
  </si>
  <si>
    <t>'03771690967</t>
  </si>
  <si>
    <t>‭Z413254D27‬</t>
  </si>
  <si>
    <t>Pubblicazioni in GU e 4 quotidiani nazionali/locali convenzione "Argo pro".</t>
  </si>
  <si>
    <t>‭ZAC32669E5‬</t>
  </si>
  <si>
    <t>A. MANZONI &amp; C. SPA</t>
  </si>
  <si>
    <t>‭ZD2325F6A3‬</t>
  </si>
  <si>
    <t>Rinnovo convenzione Banca dati Italgiureweb 01 agosto 2021 - 31 luglio 2022.</t>
  </si>
  <si>
    <t>‭ZEB32B62DB‬</t>
  </si>
  <si>
    <t>Affidamento diretto per l'incarico di traduzione in lingua araba. alla Intrawelt s.a.s.</t>
  </si>
  <si>
    <t>‭ZF93266B0A‬</t>
  </si>
  <si>
    <t>CLASS EDITORI SPA</t>
  </si>
  <si>
    <t>‭ZD53266833‬</t>
  </si>
  <si>
    <t>RCS MEDIAGROUP SPA</t>
  </si>
  <si>
    <t>‭863160629B‬</t>
  </si>
  <si>
    <t>Servizio di formazione /coaching per il personale dirigente 2021.</t>
  </si>
  <si>
    <t>03976470967*07227131005*05566471008*01067231009*05034240753*11088550964*09786990151*03728610969*01863350359*12852900153</t>
  </si>
  <si>
    <t>Business Integration Partners*Humanities srl*Ingegneria per l¿Industria srl*Luiss Guido Carli*PA 360 srl*Pricewaterhousecoopers Public Sector*Ptsclas spa*SCOA School of Coaching srl*SCS Azioninnova spa*Selexi srl</t>
  </si>
  <si>
    <t>LUISS: LIBERA UNIVERSITA' INTERNAZIONALE DEGLI STUDI SOCIALI - LUISS</t>
  </si>
  <si>
    <t>‭882569276F‬</t>
  </si>
  <si>
    <t>Fornitura dei buoni pasto elettronici per i dipendenti delle sedi di Milano e Roma convenzione Consip 'Buoni pasto 9' - Lotti 1 (Lombardia) e 7 (Lazio) Ottobre 2021 - settembre 2023.</t>
  </si>
  <si>
    <t>EDENRED ITALIA SRL</t>
  </si>
  <si>
    <t>‭Z553291E30‬</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</si>
  <si>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</si>
  <si>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</si>
  <si>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</si>
  <si>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</si>
  <si>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</si>
  <si>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</si>
  <si>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</si>
  <si>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</si>
  <si>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</si>
  <si>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</si>
  <si>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</si>
  <si>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</si>
  <si>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</si>
  <si>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</si>
  <si>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GENERALI WELION S.C.A.R.L.</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</si>
  <si>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</si>
  <si>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</si>
  <si>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</si>
  <si>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</si>
  <si>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</si>
  <si>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</si>
  <si>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</si>
  <si>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</si>
  <si>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</si>
  <si>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</si>
  <si>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</si>
  <si>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</si>
  <si>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</si>
  <si>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</si>
  <si>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</si>
  <si>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Affidamento, ai sensi dell'art. 63, comma 2, lett. b), sub 2 e 3, del d.lgs. n. 50/2016 s.m.i., del servizio Market Connect Feed Argo, per il periodo 1 settembre 2021 29 febbraio 2024.</t>
  </si>
  <si>
    <t>ZF03307171</t>
  </si>
  <si>
    <t>manutenzione e assistenza Oracle Solaris</t>
  </si>
  <si>
    <t>88483945B8</t>
  </si>
  <si>
    <t>8922079C7F</t>
  </si>
  <si>
    <t>Servizio manutenzione server Oracle anno 2022</t>
  </si>
  <si>
    <t>08166591217</t>
  </si>
  <si>
    <t>AMISSIMA ASSICURAZIONI SPA</t>
  </si>
  <si>
    <t>SARA ASSICURAZIONI SPA* AMMISSIMA ASSICURAZIONI SPA</t>
  </si>
  <si>
    <t>05541790654*08166591217*</t>
  </si>
  <si>
    <t>SARA ASSICURAZIONI SPA*AMISSIMA ASSICURAZIONI SPA*</t>
  </si>
  <si>
    <t>02-MANDATARIA*01-MANDANTE</t>
  </si>
  <si>
    <t>ARKADIA TRANSLATIONS SRL</t>
  </si>
  <si>
    <t>01641800550</t>
  </si>
  <si>
    <t>IBM Italia S.p.A</t>
  </si>
  <si>
    <t>01442240030</t>
  </si>
  <si>
    <t>Z6E3298CDB</t>
  </si>
  <si>
    <t>Z69328B8B5</t>
  </si>
  <si>
    <t>04864781002</t>
  </si>
  <si>
    <t>Carto Copy Service</t>
  </si>
  <si>
    <t>Ordine di n. 1680 risme di carta A4 - MEPA</t>
  </si>
  <si>
    <t>Fornitura di toner originale per stampante HP Pagewide 477DW MEPA</t>
  </si>
  <si>
    <t>01916890690</t>
  </si>
  <si>
    <t>Decart</t>
  </si>
  <si>
    <t>ZCD327D8A9</t>
  </si>
  <si>
    <t>02508710585</t>
  </si>
  <si>
    <t>LUISS Guido Carli</t>
  </si>
  <si>
    <t>01014660417</t>
  </si>
  <si>
    <t>ZE43304020</t>
  </si>
  <si>
    <t>Convenzione vaccini antinfluenzali</t>
  </si>
  <si>
    <t>88617779B7</t>
  </si>
  <si>
    <t>80209930587</t>
  </si>
  <si>
    <t>Università degli studi di Roma La Sapienza</t>
  </si>
  <si>
    <t>ZEA3151F1F</t>
  </si>
  <si>
    <t>870839393C</t>
  </si>
  <si>
    <t>Accordo commerciale - convenzione “Programma Trenitalia for Business”</t>
  </si>
  <si>
    <t>Trenitalia S.p.A.</t>
  </si>
  <si>
    <t>05403151003</t>
  </si>
  <si>
    <t>CANEVARI GROUP SRL</t>
  </si>
  <si>
    <t>02293630188</t>
  </si>
  <si>
    <t>Fornitura battiruota e accessori per autorimessa sede
Consob di Roma</t>
  </si>
  <si>
    <t>Z711CC0911</t>
  </si>
  <si>
    <t>Servizi di abbonamento “Telemaco”, “Ulisse” e “E.B.R.” per l’anno 2017</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</si>
  <si>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</si>
  <si>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</si>
  <si>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</si>
  <si>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</si>
  <si>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</si>
  <si>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</si>
  <si>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</si>
  <si>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</si>
  <si>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</si>
  <si>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</si>
  <si>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</si>
  <si>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</si>
  <si>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Z701E651C1</t>
  </si>
  <si>
    <t>Macchiaroli &amp; Partners SRL</t>
  </si>
  <si>
    <t>ZF028D70B1</t>
  </si>
  <si>
    <t>Servizi tecnici  per centralizzazione impianti tecnologici</t>
  </si>
  <si>
    <t>Servizi tecnici per installazione UPS per la sede Consob di Roma</t>
  </si>
  <si>
    <t>07503060639</t>
  </si>
  <si>
    <t>Convenzione con Policlinico Universitario Campus Bio-Medico per l'effettuazione di tamponi rino-faringei per il personale Consob di Roma</t>
  </si>
  <si>
    <t>‭ZF833B3F8A‬</t>
  </si>
  <si>
    <t>TSTAT SRL</t>
  </si>
  <si>
    <t>‭Z6A33F9179‬</t>
  </si>
  <si>
    <t>Acquisto n. 100 kit smartcard, n. 50.000 marche temporali, 500 codici rinnovo certificati FD.</t>
  </si>
  <si>
    <t>‭ZF63362AE6‬</t>
  </si>
  <si>
    <t>Fornitura di n. 5 terminali controllo "Green Pass" sedi Roma e Milano - ODA</t>
  </si>
  <si>
    <t>INFORDATA SISTEMI SRL</t>
  </si>
  <si>
    <t>‭ZED339CFD7‬</t>
  </si>
  <si>
    <t>Incarico di traduzione in lingua italiana dalla lingua olandese e thailandese (vicenda Corsair).</t>
  </si>
  <si>
    <t>‭Z6633611D0‬</t>
  </si>
  <si>
    <t>Fornitura di n. 60.000 mascherine chirurgiche e n. 4.000 mascherine FFP2 Roma e Milano.</t>
  </si>
  <si>
    <t>08050520967*02052230394*02111430357</t>
  </si>
  <si>
    <t>BLUEBAG ITALIA SRL*POLONORD ADESTE SRL*THD SPA</t>
  </si>
  <si>
    <t>POLONORD ADESTE SRL</t>
  </si>
  <si>
    <t>‭88967820C4‬</t>
  </si>
  <si>
    <t>Adesione a convenzione Licenze software multibrand 3 - lotto 4 - Software Redhat durata 36 mesi.</t>
  </si>
  <si>
    <t>‭Z473368DD2‬</t>
  </si>
  <si>
    <t>n. 4 lezioni-evento "invesimenti al tempo della crisi" progetto edutainment e n. 10 lezioni-evento "Occhio alla truffe" Finanza in palcoscenico 2021 - 2022.</t>
  </si>
  <si>
    <t>‭ZE3333B247‬</t>
  </si>
  <si>
    <t>STUDIO AMICA SRLU</t>
  </si>
  <si>
    <t>STUDIO A.M.I.C.A. SOCIETA' COOPERATIVA</t>
  </si>
  <si>
    <t>‭ZF03368D4A‬</t>
  </si>
  <si>
    <t>‭Z093442576‬</t>
  </si>
  <si>
    <t>Intervento di manutenzione ordinaria dei tendaggi del locale Auditorium di Roma.</t>
  </si>
  <si>
    <t>TAP ART DI DIEGO DI FAZIO</t>
  </si>
  <si>
    <t>Affidamento fornitura e posa in opera pareti in plexiglass per le p.d.l. condivise in n. 60 stanze sede di Roma.</t>
  </si>
  <si>
    <t>NEON ANGHER SRL</t>
  </si>
  <si>
    <t>‭Z59334D394‬</t>
  </si>
  <si>
    <t>Fornitura n. 55 cuffie telefoniche per personale in telelavoro 2021-2022 - ODA</t>
  </si>
  <si>
    <t>R.C.M. ITALIA SRL</t>
  </si>
  <si>
    <t>‭8940348091‬</t>
  </si>
  <si>
    <t>Servizi tecnico-organizzativi evento Consob-G20 - Palazzo Spada -  25 ottobre 2021.</t>
  </si>
  <si>
    <t>AB COMUNICAZIONI SRL</t>
  </si>
  <si>
    <t>Z3F33A0107</t>
  </si>
  <si>
    <t>ZE9339FFC9</t>
  </si>
  <si>
    <t>Conv.Consip 'Licenze sw multibrand 3' L3 - Nuove licenze Filenet P8</t>
  </si>
  <si>
    <t>9000449D77</t>
  </si>
  <si>
    <t>901197228F</t>
  </si>
  <si>
    <t>Servizio di supporto e manutenzione delle licenze d'uso Oracle anno 2022</t>
  </si>
  <si>
    <t>9001550A0B</t>
  </si>
  <si>
    <t>Z933451D75</t>
  </si>
  <si>
    <t>Sottoscrizione del prodotto “Liferay Enterprise Search di Produzione” per 30 mesi</t>
  </si>
  <si>
    <t>ZA233C78A9</t>
  </si>
  <si>
    <t>Formazione sul software Filenet P8</t>
  </si>
  <si>
    <t>Z3C33827A2‬</t>
  </si>
  <si>
    <t>02279100545*05231661009*04303141008</t>
  </si>
  <si>
    <t>PA EVOLUTION S.r.l.* R1 S.p.A.* NSR S.r.l.</t>
  </si>
  <si>
    <t>04303141008*01490000120</t>
  </si>
  <si>
    <t>NSR S.r.l.*Elmec Informatica S.p.A.</t>
  </si>
  <si>
    <t xml:space="preserve">TOMWARE S.C.A.R.L.*CLOUDWISE*PROJECT INFORMATICA SRL
</t>
  </si>
  <si>
    <t>02252270398*12571681001*02006010165</t>
  </si>
  <si>
    <t>Banca dati "Custom Benchmarking Services" anno 2021 e 2022</t>
  </si>
  <si>
    <t>‭Z473354C3A‬</t>
  </si>
  <si>
    <t>Procedura negoziata ex art. 63, comma 2, lett. b), sub 3 - Banca dati Infront Professional Terminal - anno 2022.</t>
  </si>
  <si>
    <t>Infront Italia S.r.l.</t>
  </si>
  <si>
    <t>‭Z40335FFBA‬</t>
  </si>
  <si>
    <t>Adesione a CERTFin anno 2022.</t>
  </si>
  <si>
    <t>‭ZF53360078‬</t>
  </si>
  <si>
    <t>Adesione a Osservatorio Business Continuity anno 2022.</t>
  </si>
  <si>
    <t>‭ZDA3348E6B‬</t>
  </si>
  <si>
    <t>Procedura negoziata ex art. 63, comma 2, lett. b) sub 3 per l'abbonamento banca dati Telemaco e EBR anno 2022.</t>
  </si>
  <si>
    <t>'02313821007</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</si>
  <si>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</si>
  <si>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</si>
  <si>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</si>
  <si>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</si>
  <si>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</si>
  <si>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</si>
  <si>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</si>
  <si>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</si>
  <si>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</si>
  <si>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</si>
  <si>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</si>
  <si>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'01739090460</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</si>
  <si>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</si>
  <si>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</si>
  <si>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</si>
  <si>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</si>
  <si>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</si>
  <si>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</si>
  <si>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</si>
  <si>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‭8955232B38‬</t>
  </si>
  <si>
    <t>Procedura negoziata ex art. 63, comma 2, tramite Trattativa diretta sul MEPA per l'acquisizione degli applicativi informatici "Orbis" con un accesso con interfaccia API -  anno 2022.</t>
  </si>
  <si>
    <t>‭Z8633C1FBC‬</t>
  </si>
  <si>
    <t>Convenzione tamponi rapidi e molecolari dipendenti di Roma dal 01 gennaio 2022 al 30 giugno 2022.</t>
  </si>
  <si>
    <t>Artemisia S.p.a.</t>
  </si>
  <si>
    <t>‭ZB133D13B2‬</t>
  </si>
  <si>
    <t>Convenzione tamponi rapidi Farmacia Bagnarelli (RM) - dal 1 gennaio al 30 giugno 2022.</t>
  </si>
  <si>
    <t>Farmacia Bagnarelli Dott. Massimo</t>
  </si>
  <si>
    <t>‭Z1133C1E98‬</t>
  </si>
  <si>
    <t>Convenzione Test sierologici e Tamponi molecolari dipendenti Milano dal 1° gennaio 2022 al 30 giugno 2022.</t>
  </si>
  <si>
    <t>‭889744972F‬</t>
  </si>
  <si>
    <t>Rinnovo della manuntenzione di n. 425 licenze Filenet P8,  dal 01 febbraio 2022 al 31 gennaio 2023.</t>
  </si>
  <si>
    <t>‭ZED33F6462‬</t>
  </si>
  <si>
    <t>Policlinico Universiatorio Campus Bio-Medico</t>
  </si>
  <si>
    <t>POLICLINICO UNIVERSITARIO CAMPUS BIO-MEDICO</t>
  </si>
  <si>
    <t>‭8974692620‬</t>
  </si>
  <si>
    <t>Procedura negoziata, senz previa pubblicazione di un bando, ex art. 63, comma 2, lett. b) per il rinnovo del servizio di accesso alla banca dati DMC Manager distribuita da Dealogic Limited</t>
  </si>
  <si>
    <t>estero</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</si>
  <si>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</si>
  <si>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</si>
  <si>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</si>
  <si>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</si>
  <si>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</si>
  <si>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</si>
  <si>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</si>
  <si>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</si>
  <si>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</si>
  <si>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</si>
  <si>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‭8780252D27‬</t>
  </si>
  <si>
    <t>IBM ITALIA SPA</t>
  </si>
  <si>
    <t>‭8983352097‬</t>
  </si>
  <si>
    <t>Procedura negoziata ai sensi dell¿art. 63, comma 2, lett. b), sub 3 del d.lgs. 50/2016</t>
  </si>
  <si>
    <t>Refinitiv Italy S.p.A.</t>
  </si>
  <si>
    <t>‭Z59347467F‬</t>
  </si>
  <si>
    <t>Affidamento diretto, ex art. 1, comma 2, lett. a), della legge n. 120 del 2020 per l¿acquisizione di due licenze Financial Refinitiv ad accesso individuale (Eikon Premium) per l¿anno 2022</t>
  </si>
  <si>
    <t>‭Z313459813‬</t>
  </si>
  <si>
    <t>Ripristino delle coperture aggettanti e dei frontalini interni dei terrazzi lato via Monteverdi, sede di Roma.</t>
  </si>
  <si>
    <t>IMPRESA EDILE DI PICCHETTA CARLO</t>
  </si>
  <si>
    <t>‭9058040313‬</t>
  </si>
  <si>
    <t>Servizio di ritiro/prelievo, trasporto, conferimento e smaltimento dei rifiuti presenti nei locali condominiali della sede di Roma.</t>
  </si>
  <si>
    <t>00301380663*</t>
  </si>
  <si>
    <t>MARSICA EDILSTRADE S.N.C.*GERICA SRL</t>
  </si>
  <si>
    <t>GERICA SRL</t>
  </si>
  <si>
    <t>‭8924698DC3‬</t>
  </si>
  <si>
    <t>Servizio supporto e manutenzione software Business Object  01 gennaio 2022- 31 dicembre 2023 - 1 offerta</t>
  </si>
  <si>
    <t>SIDI S.r.l.</t>
  </si>
  <si>
    <t>SIDI SRL</t>
  </si>
  <si>
    <t>‭8993899040‬</t>
  </si>
  <si>
    <t>Fornitura, installazione, collaudo e manutenzione 24 mesi di apparati NETAPP server farm di Roma.</t>
  </si>
  <si>
    <t>01680600333*02717790212*05231661009*04755861004*02508100928</t>
  </si>
  <si>
    <t>BE TEAM SRL*NTS ITALY SRL*R1 SPA*SOFTWAY SRL*TISCALI ITALIA SPA</t>
  </si>
  <si>
    <t>CED Cassazione</t>
  </si>
  <si>
    <t>KORA SISTEMI INFORMATICI S.R.L.*KAY SYSTEMS ITALIA S.R.L.*GD GRAFIDATA S.R.L.*GWAY S.R.L.</t>
  </si>
  <si>
    <t>02048930206*05380651009*02991230588*11673301005</t>
  </si>
  <si>
    <t>02991230588</t>
  </si>
  <si>
    <t>GD GRAFIDATA S.R.L.</t>
  </si>
  <si>
    <t>Acquisizione aggiornamenti software 7xSTATA/16 e 2xSTATA/12 a STATA/17 (9)</t>
  </si>
  <si>
    <t>901466835E</t>
  </si>
  <si>
    <t xml:space="preserve">Manutenzione specialistica MELIS A1 Replace Multi </t>
  </si>
  <si>
    <t>Abbonamento al notiziario Italian News Service</t>
  </si>
  <si>
    <t>Abbonamento al notiziario Breakingviews</t>
  </si>
  <si>
    <t>reuters</t>
  </si>
  <si>
    <t>Esercizio dell'opzione di rinnovo del contratto per il servizio di traduzione di atti e documenti inerenti all'attività istituzionale della CONSOB dal 01 ottobre 2021 al 30 settembre 2023.</t>
  </si>
  <si>
    <t>Z5033A25F7</t>
  </si>
  <si>
    <t xml:space="preserve">VERIFICHE PERIODICHE N. 6 IMPIANTI ELEVATORI SEDE CONSOB DI ROMA </t>
  </si>
  <si>
    <t>Acquisto 1.500 licenze Software antivirus SEP (Symantec Endpoint Protection) e relativi servizi di manutenzione - 1 Giugno 2020 31 maggio 2021 Esercitata opzione di proroga per ulteriori 12 mesi (€ 16,065,00) - 01/06/2021-31/05/2022</t>
  </si>
  <si>
    <t>Servizio di Internet Service Provider (connettività) nell’ambito del contratto esecutivo del Contratto Quadro OPA (SPC2) + Acquisizione canale comunicazione a 10 Gbps per collegamento informatico sedi (dal 10/9/2019)</t>
  </si>
  <si>
    <t>Servizi di assistenza sanitaria e di medicina preventiva (check-up) per il personale in servizio e in quiescenza della CONSOB e dell’AGCM- CIG derivato Consob da CIG Lotto 1 Consob 755320806D prorogato ex 106, c. 11 fino al 30/06/2022</t>
  </si>
  <si>
    <t>9011980927</t>
  </si>
  <si>
    <t xml:space="preserve">LOTTO 1  ROMA  -  SERVIZIO DI DEPOSITO E ARCHIVIAZIONE DI DOCUMENTAZIONE ISTITUZIONALE DELLA CONSOB 
</t>
  </si>
  <si>
    <t xml:space="preserve">LOTTO 2 MILANO - SERVIZIO DI DEPOSITO E ARCHIVIAZIONE DI DOCUMENTAZIONE ISTITUZIONALE DELLA CONSOB 
</t>
  </si>
  <si>
    <t>Sistema dedicato alla vigilanza sui
mercati finanziari (“ARGO PRO”) e rinnovo della relativa convenzione con Borsa Italiana S.p.A.
Italiana S.p.A. 01/09/2021- 28/02/2024.</t>
  </si>
  <si>
    <r>
      <t xml:space="preserve">Servizio di formazione (n. 37 giornate </t>
    </r>
    <r>
      <rPr>
        <i/>
        <sz val="11"/>
        <rFont val="Calibri"/>
        <family val="2"/>
        <scheme val="minor"/>
      </rPr>
      <t xml:space="preserve">training on the job) </t>
    </r>
    <r>
      <rPr>
        <sz val="11"/>
        <rFont val="Calibri"/>
        <family val="2"/>
        <scheme val="minor"/>
      </rPr>
      <t>finalizzato all'analisi dei dati relativi ai PRIIPs contenuti nei KIDs</t>
    </r>
  </si>
  <si>
    <t>PCCCRL64D24H501K</t>
  </si>
  <si>
    <t>Rinnovo della piattaforma telematica di negoziazione "Tuttogare" 24 mesi dal 13 novembre 2021.</t>
  </si>
  <si>
    <t xml:space="preserve">Acquisizione di una nuova soluzione antimalware, manutenzione e supporto on call e supporto a consumo 2021-2026 (appalto con BDI) - CIG padre 83829640BD </t>
  </si>
  <si>
    <t>Riepilogo contratti al 31 dicembre 2021</t>
  </si>
  <si>
    <t>Adesione Convenzione “Consip Tecnologia Server 2” Lotto 4 - 10 server HP + 5 anni manutenzione</t>
  </si>
  <si>
    <t>Adesione Convenzione “Consip Tecnologia Server 2” Lotto 3 -  2 server DELL + 5 anni manutenzione</t>
  </si>
  <si>
    <t>Manutenzione software Matlab  01.07.2020 - 30.06.2021</t>
  </si>
  <si>
    <t>Banca dati Bloomberg 2 licenze (RM-MI) 2021-2023  biennale dal 01 giugno 2021 al 31 maggio 2023</t>
  </si>
  <si>
    <t>Corso di formazione on-line di 36 ore per il personale dirigente della Consob</t>
  </si>
  <si>
    <t>n. 4 lezioni-evento "investimenti al tempo della crisi" progetto edutainment e n. 10 lezioni-evento "Occhio alla truffe" Finanza in palcoscenico 2021 - 2022.</t>
  </si>
  <si>
    <t>00768340580</t>
  </si>
  <si>
    <t>01066780584</t>
  </si>
  <si>
    <t>ZDA3441D15</t>
  </si>
  <si>
    <t>Convenzione test sierologici Roma (Covid-19)</t>
  </si>
  <si>
    <t>Bios Spa</t>
  </si>
  <si>
    <t>Corso di formazione per il personale della Divisione Infrastrutture Informative</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</si>
  <si>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</si>
  <si>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</si>
  <si>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</si>
  <si>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</si>
  <si>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</si>
  <si>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</si>
  <si>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</si>
  <si>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Z5333D74EB</t>
  </si>
  <si>
    <t>Rinnovo licenza di esercizio applicativo "Trend Micro Deep Discovery" e servizio di supporto remoto</t>
  </si>
  <si>
    <t>03349070361</t>
  </si>
  <si>
    <t xml:space="preserve">IFICONSULTING srl </t>
  </si>
  <si>
    <t>5806926AEB</t>
  </si>
  <si>
    <t>Adesione alla convenzione Consip "Facility Management 3", Lotto 2 per le sedi di Milano</t>
  </si>
  <si>
    <t xml:space="preserve">05850080630*06751431211 </t>
  </si>
  <si>
    <t>RTI ROMEO GESTIONI SPA*CONSORZIO STABILE ROMEO FACILITY SERVICES 2010</t>
  </si>
  <si>
    <t>Convenzione, ex art. 22, comma 9, D.L. 90/2014, con il Comune di Milano avente ad oggetto la concessione d'uso dell'immobile di Via Rovello 6, in Milano</t>
  </si>
  <si>
    <t>01199250158</t>
  </si>
  <si>
    <t>Comune di Milano</t>
  </si>
  <si>
    <t>Z70210F841</t>
  </si>
  <si>
    <t>Servizi di catering e altri servizi accessori per conferenza stampa "Digitalizzazione dei processi di intermediazione finanziaria" (Milano, 5 dicembre 2017)</t>
  </si>
  <si>
    <t>07002030968</t>
  </si>
  <si>
    <t>COPERNICO SRL</t>
  </si>
  <si>
    <t>Z19214D797</t>
  </si>
  <si>
    <t>Noleggio di n. 3 fotocopiatrici multifunzione per la sede Consob di Milano - via Broletto 7 tramite convenzione Consip</t>
  </si>
  <si>
    <t>09275090158</t>
  </si>
  <si>
    <t>SHARP ELECTRONICS ITALIA SPA</t>
  </si>
  <si>
    <t>ZB821C551A</t>
  </si>
  <si>
    <t>Servizi di "igienizzazione" e di noleggio di asciugamani di cotone in rotoli presso le sedi CONSOB di Milano</t>
  </si>
  <si>
    <t>03986581001*05851410158*12544280154</t>
  </si>
  <si>
    <t>Rentokil Initial Italia spa*Elis Italia spa*Sarasota srl</t>
  </si>
  <si>
    <t>03986581001</t>
  </si>
  <si>
    <t>Rentokil Initial Italia spa</t>
  </si>
  <si>
    <t>73806912E4</t>
  </si>
  <si>
    <t>Fornitura di buoni pasto elettronici per le sedi Consob di Milano mediante adesione alla convenzione Consip "Buoni pasto elettronici 1", lotto 1</t>
  </si>
  <si>
    <t>Edenred Italia srl</t>
  </si>
  <si>
    <t>Z8627CA91F</t>
  </si>
  <si>
    <t>Fornitura di carburante tramite fuel card per le sedi Consob di Milano - AQ Consip "Fuel card 1"</t>
  </si>
  <si>
    <t>00435970587</t>
  </si>
  <si>
    <t>Kuwait Petroleum Italia spa</t>
  </si>
  <si>
    <t>Z2F2988BFF</t>
  </si>
  <si>
    <t>Uso e manutenzione del collegamento telematico in fibra ottica tra le sedi Consob di Milano</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</si>
  <si>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</si>
  <si>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</si>
  <si>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</si>
  <si>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</si>
  <si>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</si>
  <si>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</si>
  <si>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</si>
  <si>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</si>
  <si>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</si>
  <si>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</si>
  <si>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</si>
  <si>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</si>
  <si>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</si>
  <si>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</si>
  <si>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Z0C2A664C3</t>
  </si>
  <si>
    <t>Servizi per la gestione integrata della salute e della sicurezza sui luoghi di lavoro presso le sedi di Milano (contratto "ponte")</t>
  </si>
  <si>
    <t>8110530D13</t>
  </si>
  <si>
    <r>
      <t xml:space="preserve">Abbonamenti triennali cartacei e digitali al quotidiano </t>
    </r>
    <r>
      <rPr>
        <i/>
        <sz val="11"/>
        <rFont val="Calibri"/>
        <family val="2"/>
        <scheme val="minor"/>
      </rPr>
      <t>Il Sole 24 Ore</t>
    </r>
  </si>
  <si>
    <t>Il Sole 24 Ore spa</t>
  </si>
  <si>
    <t>Z462A1F844</t>
  </si>
  <si>
    <t>Servizio di manutenzione per 20 mesi dell’impianto di parcheggio interrato motorizzato (“Interpark”) presso la sede Consob di Milano, via Broletto 7</t>
  </si>
  <si>
    <t>03729860134</t>
  </si>
  <si>
    <t>Parkpiù srl</t>
  </si>
  <si>
    <t>Z202BCB380</t>
  </si>
  <si>
    <t>N. 15 abbonamenti annuali digitali al quotidiano "Financial Times"</t>
  </si>
  <si>
    <t>GB278537121</t>
  </si>
  <si>
    <t>THE FINANCIAL TIMES LTD</t>
  </si>
  <si>
    <t>8176064D71</t>
  </si>
  <si>
    <t>Fornitura di energia elettrica per le esigenze delle sedi Consob di Milano</t>
  </si>
  <si>
    <t>Z172C3DE79</t>
  </si>
  <si>
    <t>Noleggio - LOTTO 3- n.1 fotocopiatrice a colori - Adesione convenzione Consip "Apparecchiature multifunzione 31 - noleggio " dal 1° maggio 2020 al 30 aprile 2025 - MILANO</t>
  </si>
  <si>
    <t>01788080156</t>
  </si>
  <si>
    <t>8248540E87</t>
  </si>
  <si>
    <t>Fornitura di gas naturale per le sedi CONSOB di Milano</t>
  </si>
  <si>
    <t>01565370382</t>
  </si>
  <si>
    <t>Soenergy srl</t>
  </si>
  <si>
    <t>Z092C4505B</t>
  </si>
  <si>
    <t>Abbonamento annuale digitale a Il Fatto Quotidiano</t>
  </si>
  <si>
    <t>Società Editoriale Il Fatto spa</t>
  </si>
  <si>
    <t>ZF02C3DF1D</t>
  </si>
  <si>
    <t>Noleggio - LOTTO 1- n. 7
fotocopiatrici
mutlifunzione - Adesione
convenzione Consip
"Apparecchiature
multifunzione 31 -
noleggio " dal 1° maggio
2020 al 30 aprile 2025 -
MILANO</t>
  </si>
  <si>
    <t>Z0F2CCBA1A</t>
  </si>
  <si>
    <t>Verifiche periodiche degli impianti ascensori e di messa a terra presso le sedi Consob di Milano</t>
  </si>
  <si>
    <t>01339900993</t>
  </si>
  <si>
    <t>Cervino srl</t>
  </si>
  <si>
    <t>Z402CFEB4B</t>
  </si>
  <si>
    <t>Accordo Quadro n. 2 per pulizia straordinaria delle sedi milanesi della Consob</t>
  </si>
  <si>
    <t>01866910761</t>
  </si>
  <si>
    <t>FACILITY srl</t>
  </si>
  <si>
    <t>8269676086</t>
  </si>
  <si>
    <t>Servizio sostitutivo di mensa mediante buoni pasto elettronici per la sede Consob di Milano nelle more dell'attivazione della convenzione Consip "Buoni pasto 9"</t>
  </si>
  <si>
    <t>Z962CF038D</t>
  </si>
  <si>
    <t>Potenziamento del software "Mercure V4"e manutenzione evolutiva annuale</t>
  </si>
  <si>
    <t>07414751003</t>
  </si>
  <si>
    <t>TECOMS srl</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</si>
  <si>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</si>
  <si>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</si>
  <si>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</si>
  <si>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</si>
  <si>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</si>
  <si>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</si>
  <si>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</si>
  <si>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</si>
  <si>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ZAF2DCAACC</t>
  </si>
  <si>
    <t>Manutenzione triennale ordinaria programmata e certificazione di n. 4 “linee vita” presso le sedi Consob di Milano</t>
  </si>
  <si>
    <t>07771580961</t>
  </si>
  <si>
    <t>GRIMM Service Linee srl</t>
  </si>
  <si>
    <t>Z1E2E5D91E</t>
  </si>
  <si>
    <t>Intervento di indagine ambientale per il controllo e la prevenzione della legionellosi presso le sedi Consob di Milano</t>
  </si>
  <si>
    <t>04779681008</t>
  </si>
  <si>
    <t xml:space="preserve">Delta APS Service Srl </t>
  </si>
  <si>
    <t>Z2C2DBDAED</t>
  </si>
  <si>
    <t>Intervento di riparazione e revisione dei trasformatori installati presso la cabina elettrica di via Broletto 7</t>
  </si>
  <si>
    <t>01058110162</t>
  </si>
  <si>
    <t>Grena Srl</t>
  </si>
  <si>
    <t>Z382DA1E16</t>
  </si>
  <si>
    <t>Convenzione con l’Istituto Auxologico Italiano per l’effettuazione di Test sierologici
per il personale Consob delle sedi di Milano</t>
  </si>
  <si>
    <t>Istituto Auxologico Italiano</t>
  </si>
  <si>
    <t>Z062E32E20</t>
  </si>
  <si>
    <t>Noleggio e manutenzione di n. 3 tappeti presso le sedi Consob di Milano</t>
  </si>
  <si>
    <t>Servizi per la gestione integrata della salute e della sicurezza sui luoghi di lavoro presso la sede di Milano  (contratto "ponte") servizi tecnici e formativi</t>
  </si>
  <si>
    <t>Z292E82D44</t>
  </si>
  <si>
    <t xml:space="preserve">Servizi per la gestione integrata della salute e della sicurezza sui luoghi di lavoro presso la sede di Milano  (contratto "ponte") sorveglianza sanitaria </t>
  </si>
  <si>
    <t>ZDC2F5A8B8</t>
  </si>
  <si>
    <t>Acquisizione, per l’anno 2021, del servizio di manutenzione e dell’assistenza sul software “Giada” ad essa collegato; intervento di sostituzione del blocco datario della macchina stessa</t>
  </si>
  <si>
    <t>12956730159</t>
  </si>
  <si>
    <t>AUTOPOST SRL</t>
  </si>
  <si>
    <t>Z772F517D7</t>
  </si>
  <si>
    <t>N. 5 abbonamenti annuali al settimanale The Economist</t>
  </si>
  <si>
    <t>02938930589* 06860250155</t>
  </si>
  <si>
    <t>CELDES srl*I.M.D. srl</t>
  </si>
  <si>
    <t>CELDES srl</t>
  </si>
  <si>
    <t>Z5C2F94619</t>
  </si>
  <si>
    <t>Convenzione con l’Istituto Auxologico Italiano per l’effettuazione di Test sierologici il 2021 per il personale Consob delle sedi di Milano (2021)</t>
  </si>
  <si>
    <t>ZB22ECADF7</t>
  </si>
  <si>
    <t>CONVENZIONE CON ISTITUTO AUXOLOGICO ITALIANO PER L'EFFETTUAZIONE DI TAMPONI PER IE ESIGENZE DELLA SEDE CONSOB DI MILANO</t>
  </si>
  <si>
    <t>Z222EAA8AF</t>
  </si>
  <si>
    <t>Convenzione per l’effettuazione di vaccini antinfluenzali per il personale Consob della sede di Milano</t>
  </si>
  <si>
    <t>Z042EFBD86</t>
  </si>
  <si>
    <t>Accordo Quadro n. 3 per pulizia straordinaria delle sedi milanesi della Consob</t>
  </si>
  <si>
    <t>Z533082F94</t>
  </si>
  <si>
    <t>N. 15 abbonamenti annuali digitali al quotidiano "Financial Times" 2021/22</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</si>
  <si>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</si>
  <si>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</si>
  <si>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</si>
  <si>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</si>
  <si>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Fornitura di energia elettrica per le sedi Consob di Milano (conv. Consip Energia
elettrica 17, lotto 2)</t>
  </si>
  <si>
    <t>Enel Energia S.p.a.</t>
  </si>
  <si>
    <t>Z4830B247A</t>
  </si>
  <si>
    <t>Tamponi Rapidi per il personale Consob della sede di Milano</t>
  </si>
  <si>
    <t>08051510967</t>
  </si>
  <si>
    <t>Centro Medico Lombardo S.r.l.</t>
  </si>
  <si>
    <t>8666681369</t>
  </si>
  <si>
    <t>Fornitura di gas per le sedi Consob di Milano (conv. Consip Gas naturale 13, lotto 2)</t>
  </si>
  <si>
    <t>02221101203</t>
  </si>
  <si>
    <t>HERA COMM S.P.A.</t>
  </si>
  <si>
    <t>Z4E30F5D97</t>
  </si>
  <si>
    <r>
      <t xml:space="preserve">Abbonamento annuale digitale 2021/22 a </t>
    </r>
    <r>
      <rPr>
        <i/>
        <sz val="11"/>
        <rFont val="Calibri"/>
        <family val="2"/>
        <scheme val="minor"/>
      </rPr>
      <t>Il Fatto Quotidiano</t>
    </r>
  </si>
  <si>
    <t>ZD030DC47A</t>
  </si>
  <si>
    <t xml:space="preserve">Fornitura di batterie e apparecchiature elettriche destinate agli impianti tecnologici operanti presso la sede Consob di via Broletto 7 </t>
  </si>
  <si>
    <t>00230510281</t>
  </si>
  <si>
    <t>VERTIV S.r.l.</t>
  </si>
  <si>
    <t>Z353148086</t>
  </si>
  <si>
    <t>Fornitura di corpi illuminanti per lasostituzione di lampade a incandescenzapresso la sede Consob di Milano</t>
  </si>
  <si>
    <t>10740790158</t>
  </si>
  <si>
    <t>FERRAMENTA SORA DI SORA VINCENZO &amp; C. S.N.C.</t>
  </si>
  <si>
    <t>Z3A315CF3B</t>
  </si>
  <si>
    <t>Fornitura di buste e cartelline intestate per leesigenze delle sedi Consob di Roma e di Milano</t>
  </si>
  <si>
    <t>08990781000*01265740777*11133530151</t>
  </si>
  <si>
    <t>TIPOGRAFIA CLAUDIO NERI SRL*PUBLIDEA SRL*ARTI GRAFICHE VILLA SRL</t>
  </si>
  <si>
    <t>01265740777</t>
  </si>
  <si>
    <t>PUBLIDEA SRL</t>
  </si>
  <si>
    <t>Z8431950B2</t>
  </si>
  <si>
    <t>Rinnovo biennale di n. 2 licenze dell’applicativo “Forensics Aquisition ofWebsites” funzionale alle esigenze ispettive della Consob</t>
  </si>
  <si>
    <t>02046570426*ZVTMTT84M29L682Y</t>
  </si>
  <si>
    <t>NAMIRIAL SPA*ZInformatica di Matteo Zavattari</t>
  </si>
  <si>
    <t>02046570426</t>
  </si>
  <si>
    <t>NAMIRIAL SPA</t>
  </si>
  <si>
    <t>Z7E3198ECF</t>
  </si>
  <si>
    <t>Fornitura e posa in opera di n. 2 finestre con apertura a vasistas presso l’ingresso della sede Consob di via Rovello 6, Milano</t>
  </si>
  <si>
    <t>07882990968</t>
  </si>
  <si>
    <t>AREA SOLUTION SRL</t>
  </si>
  <si>
    <t>Z1A3148CDB</t>
  </si>
  <si>
    <t>Intervento di manutenzione periodica su defibrillatori semiautomatici in dotazione presso le sedi di Roma e Milano</t>
  </si>
  <si>
    <t>07745171210</t>
  </si>
  <si>
    <t>Peretti Group srl</t>
  </si>
  <si>
    <t>Z4931ADE8D</t>
  </si>
  <si>
    <t>Servizio di manutenzione biennale del software"Mercure V4 Silvercilent”</t>
  </si>
  <si>
    <t>Z1531CD24D</t>
  </si>
  <si>
    <t>CONVENZIONE CON ISTITUTO AUXOLOGICO ITALIANO PER L'EFFETTUAZIONE DI TEST SIEROLOGICI E TAMPONI RAPIDI PER IE ESIGENZE DELLA SEDE CONSOB DI MILANO (II semestre 2021)</t>
  </si>
  <si>
    <t>8755625A50</t>
  </si>
  <si>
    <t>Contratto ponte 'Facility management'sede Consob di Milano</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</si>
  <si>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</si>
  <si>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</si>
  <si>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</si>
  <si>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</si>
  <si>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8480390F33</t>
  </si>
  <si>
    <t>Vigilanza armata e telesorveglianza
per le sedi Consob di Milano</t>
  </si>
  <si>
    <t>01579830025*80039930153*80020430825*03169660150</t>
  </si>
  <si>
    <t>ALLSYSTEM spa*CIVIS spa*KSM spa*IVRI ISTITUTI DI VIGILANZA RIUNITI D'ITALIA srl</t>
  </si>
  <si>
    <t>80020430825</t>
  </si>
  <si>
    <t>KSM spa</t>
  </si>
  <si>
    <t>Z1232D03E5</t>
  </si>
  <si>
    <t>Sostituzione di due fotocellule dell'impianto di parcheggio automatico "Interpark" presso la sede Consob di Milano, via Broletto 7</t>
  </si>
  <si>
    <t>88256260FA</t>
  </si>
  <si>
    <t>Fornitura di buoni pasto elettronici per i dipendenti Consob della sede di Milano</t>
  </si>
  <si>
    <t>Z3533217A0</t>
  </si>
  <si>
    <t>Fornitura di due stampanti multifunzione per le sedi
Consob di Roma e di Milano</t>
  </si>
  <si>
    <t>00884490673</t>
  </si>
  <si>
    <t>DATAMARKET srl</t>
  </si>
  <si>
    <t>Z1133C1E98</t>
  </si>
  <si>
    <t>Convenzione test sierologici e tamponi molecolari Milano (Covid-19)</t>
  </si>
  <si>
    <t>ZE633C1F23</t>
  </si>
  <si>
    <t>Convenzione tamponi rapidi Milano (Covid-19)</t>
  </si>
  <si>
    <t>ZFA33E45AB</t>
  </si>
  <si>
    <t>Valutazione del rischio correlato alle scariche atmosferiche presso gli immobili delle sedi CONSOB di Milano</t>
  </si>
  <si>
    <t>02606410120</t>
  </si>
  <si>
    <t>Studio Tecnico Andrea Tonini</t>
  </si>
  <si>
    <t>Z0E33A1B0A</t>
  </si>
  <si>
    <t>Operazione di messa fuori tensione e rimessa in tensione della cabina elettrica presso via Broletto 7</t>
  </si>
  <si>
    <t>12883450152</t>
  </si>
  <si>
    <t>Una reti spa</t>
  </si>
  <si>
    <t>Z8A3422230</t>
  </si>
  <si>
    <t>Incarico di Coordinatore sicurezza cantiere manutenzione edile Broletto 7</t>
  </si>
  <si>
    <t>10437071006</t>
  </si>
  <si>
    <t>Arché società cooperativa a rl</t>
  </si>
  <si>
    <t>ZA9326518E</t>
  </si>
  <si>
    <t>Lavori di adeguamento della cabina elettrica di Broletto 7 alla recente normatva</t>
  </si>
  <si>
    <t>03508570169</t>
  </si>
  <si>
    <t>Euro Elettric srl</t>
  </si>
  <si>
    <t>ZD83376272</t>
  </si>
  <si>
    <t>Operazioni di ricarica di una delle bombole di gas argon del ced piano terra di via Broletto 7</t>
  </si>
  <si>
    <t>05757720965*0255530134</t>
  </si>
  <si>
    <t xml:space="preserve">Maiullari impianti elettrici srl*Mozzanica &amp; Mozzanica srl </t>
  </si>
  <si>
    <t>05757720965</t>
  </si>
  <si>
    <t xml:space="preserve">Maiullari impianti elettrici srl </t>
  </si>
  <si>
    <t>ZAD33665A9</t>
  </si>
  <si>
    <t>Sostituzione "sensore costa mobile" del parcheggio automatico 'Interpark' presso la sede CONSOB di Milano, via Broletto 7</t>
  </si>
  <si>
    <t>ZBE340E3D3</t>
  </si>
  <si>
    <t>06860250155</t>
  </si>
  <si>
    <t>IMD srl</t>
  </si>
  <si>
    <t>Z1D3490AFD</t>
  </si>
  <si>
    <t>Fornitura carburante - Sede Consob di Milano (AQ Consip "Fuel Card 2")</t>
  </si>
  <si>
    <t>9022398E5A</t>
  </si>
  <si>
    <t>Adesione alla Convenzione Consip Facility Management 4, Lotto 3</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</si>
  <si>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</si>
  <si>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</si>
  <si>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Z1833602AC</t>
  </si>
  <si>
    <t>Fornitura di gel e spray disinfettante per le sedi di Roma e di Milano</t>
  </si>
  <si>
    <t>01864740129</t>
  </si>
  <si>
    <t>CSL COMMERCIALE SANITARIA LOMBARDA srl</t>
  </si>
  <si>
    <t>Z19339173D</t>
  </si>
  <si>
    <t>Fornitura di abiti-uniforme per il personale addetto al supporto amministrativo sede di Milano</t>
  </si>
  <si>
    <t>07622940018</t>
  </si>
  <si>
    <t>MODIT GROUP srl</t>
  </si>
  <si>
    <t>Z8D34390B6</t>
  </si>
  <si>
    <t>Fornitura di n. 1 macchina affrancatrice postale sedi di Milano</t>
  </si>
  <si>
    <t>10495590159</t>
  </si>
  <si>
    <t>Italiana Audion srl</t>
  </si>
  <si>
    <t>ZDB34595DA</t>
  </si>
  <si>
    <t>Adesione triennale al servizio Affrancaposta di Poste Italiane</t>
  </si>
  <si>
    <t>97103880585</t>
  </si>
  <si>
    <t>Poste Italiane spa</t>
  </si>
  <si>
    <t>Z973411329</t>
  </si>
  <si>
    <t>Riparazione di una pompa gemellare presso la sede di Milano, via Broletto 7</t>
  </si>
  <si>
    <t>11024250158</t>
  </si>
  <si>
    <t>Elettromeccanica Madotto Loris di Madotto Loris &amp; C. s.a.s.</t>
  </si>
  <si>
    <t>ZB03442755</t>
  </si>
  <si>
    <t>Riparazione di una pompa gemellare presso la sede di Milano, via Broletto 8</t>
  </si>
  <si>
    <t>02675380964</t>
  </si>
  <si>
    <t>Ennis Work srl</t>
  </si>
  <si>
    <t>89542500DC</t>
  </si>
  <si>
    <t>Fornitura di energia elettrica per le sedi Consob di Roma e Milano</t>
  </si>
  <si>
    <t>08526440154</t>
  </si>
  <si>
    <t>Edison Energia spa</t>
  </si>
  <si>
    <t>Convenzione tamponi molecolari Campus BIO-MEDICO, Roma, dal 1 gennaio al 30 giugno 2022.</t>
  </si>
  <si>
    <t>Z9C260654F</t>
  </si>
  <si>
    <t>Consob - Divisione Studi - Ufficio Biblioteca</t>
  </si>
  <si>
    <t>07744420584</t>
  </si>
  <si>
    <t>BIBLIOGRAFICA GIURIDICA CIAMPI SRL</t>
  </si>
  <si>
    <t>ZD22638F06</t>
  </si>
  <si>
    <t>Acquisto pubblicazioni non periodiche estere</t>
  </si>
  <si>
    <t>Z072638F37</t>
  </si>
  <si>
    <t>Z39288527C</t>
  </si>
  <si>
    <t>Z942925F40</t>
  </si>
  <si>
    <t>Rinnovo abbonamento triennale al servizio De Jure (2019-2022)</t>
  </si>
  <si>
    <t>00829840156</t>
  </si>
  <si>
    <t>Giuffrè Francis Lefebvre</t>
  </si>
  <si>
    <t>Z8A292607A</t>
  </si>
  <si>
    <t>Abbonamento triennale all'Osservatorio AIR (2019-2022)</t>
  </si>
  <si>
    <t>Osservatorio AIR</t>
  </si>
  <si>
    <t>ZA228E440A</t>
  </si>
  <si>
    <t>Richiesta di autorizzazione alla procedura negoziata ai sensi dell'art. 36, commi 2 e 6, D.Lgs. 50/2016, tramite RdO sul Mepa, per l'acquisizione della Banca dati Utet-Cedam "Pluris Online" (2019-2022)</t>
  </si>
  <si>
    <t>WOLTERS KLUWER ITALIA SRL</t>
  </si>
  <si>
    <t>ZAD2A33A2B</t>
  </si>
  <si>
    <t>Sottoscrizione di abbonamento al "Portale il fallimentarista" per il triennio 2019/2021</t>
  </si>
  <si>
    <t>Giuffrè Editore s.p.a.</t>
  </si>
  <si>
    <t>Z192A33A7A</t>
  </si>
  <si>
    <t>Rinnovo abbonamento alla sezione Premium degli Osservatori Digital Innovation della School of Management del Politecnico di Milano</t>
  </si>
  <si>
    <t>08591680155</t>
  </si>
  <si>
    <t>MIP POLITECNICO DI MILANO GRADUATE SCHOOL OF BUSINESS SCPA</t>
  </si>
  <si>
    <t>ZE22A33ABA</t>
  </si>
  <si>
    <t>Abbonamento annuale a documentazione dell'Assonime 2020</t>
  </si>
  <si>
    <t>80053570588</t>
  </si>
  <si>
    <t>Assonime Associazione fra le società italiane per azioni</t>
  </si>
  <si>
    <t>ZC62C3A8A7</t>
  </si>
  <si>
    <t>MGLFRZ63L31H501H</t>
  </si>
  <si>
    <t>Informatore Giuridico di Fabrizio Meglio</t>
  </si>
  <si>
    <t>Z6D2C3A92D</t>
  </si>
  <si>
    <t>Rinnovo abbonamento annuale agli studi, ricerche e documenti di ASTRID Servizi Srl</t>
  </si>
  <si>
    <t>08668541009</t>
  </si>
  <si>
    <t>Astrid Servizi s.r.l.</t>
  </si>
  <si>
    <t>Z0B2CD8AD8</t>
  </si>
  <si>
    <t xml:space="preserve">Rinnovo abbonamento annuale a PWC Inform </t>
  </si>
  <si>
    <t>ZF02CD8ACC</t>
  </si>
  <si>
    <t>Rinnovo abbonamento annuale a "EIFRS Comprehensive Subscription"</t>
  </si>
  <si>
    <t>ZD62BA9D2D</t>
  </si>
  <si>
    <t>Z512BFE7A2</t>
  </si>
  <si>
    <t>Intervento tecnico per malfunzionamento antitaccheggio</t>
  </si>
  <si>
    <t>03301500249</t>
  </si>
  <si>
    <t>ISNG SRL</t>
  </si>
  <si>
    <t>ZA62CEE29B</t>
  </si>
  <si>
    <t>Sottoscrizione abbonamento annuale alla banca dati EY Portal</t>
  </si>
  <si>
    <t>Z772CEE2AF</t>
  </si>
  <si>
    <t>Sottoscrizione abbonamento annuale alla banca dati Deloitte</t>
  </si>
  <si>
    <t>Z4C2D86367</t>
  </si>
  <si>
    <t>Rinnovo abbonamento banca dati giuridica "Sistema Leggi d'Italia" dell'editore Wolters Kluwer per il triennio 2020-2023</t>
  </si>
  <si>
    <t>10209790152</t>
  </si>
  <si>
    <t>Z502B8CD93</t>
  </si>
  <si>
    <t>Acquisto aggiornamenti opere Treccani</t>
  </si>
  <si>
    <t>00437160583</t>
  </si>
  <si>
    <t>Istituto della Enciclopedia Italiana Fondata da Giovanni Treccani</t>
  </si>
  <si>
    <t>Z772FCB9EA</t>
  </si>
  <si>
    <t>Z0D2F88F07</t>
  </si>
  <si>
    <t>Intervento tecnico per verifica scanner planetario</t>
  </si>
  <si>
    <t>BUCAP SPA</t>
  </si>
  <si>
    <t>ZBD2F90028</t>
  </si>
  <si>
    <t>Intervento tecnico per malfunzionamento autoprestito</t>
  </si>
  <si>
    <t>Z1E2FF833D</t>
  </si>
  <si>
    <t>Sottoscrizione abbonamento biennale agli studi Prometeia</t>
  </si>
  <si>
    <t>03118330376</t>
  </si>
  <si>
    <t>PROMETEIA S.P.A.</t>
  </si>
  <si>
    <t>Z892FF83A5</t>
  </si>
  <si>
    <t>Sottoscrizione abbonamento annuale Rapporto Prometeia</t>
  </si>
  <si>
    <t>Z3A30BC085</t>
  </si>
  <si>
    <t>ZC130FE870</t>
  </si>
  <si>
    <t>ZE930FE86F</t>
  </si>
  <si>
    <t>ZE931968FA</t>
  </si>
  <si>
    <t>ZB631968F5</t>
  </si>
  <si>
    <t>ZA031968E9</t>
  </si>
  <si>
    <t>Rinnovo abbonamento annuale alla banca dati EY Portal</t>
  </si>
  <si>
    <t>Z0031968ED</t>
  </si>
  <si>
    <t>Rinnovo abbonamento annuale alla banca dati Deloitte</t>
  </si>
  <si>
    <t>Z0331D0F24</t>
  </si>
  <si>
    <t>Abbonamento annuale alla banca dati KPMG</t>
  </si>
  <si>
    <t>ZBF31C40EE</t>
  </si>
  <si>
    <t>Acquisto principi contabili internazionali IFRS</t>
  </si>
  <si>
    <t>8857460F35</t>
  </si>
  <si>
    <t>Acquisto codici civili 2021</t>
  </si>
  <si>
    <t>ZE83453268</t>
  </si>
  <si>
    <t>Z02345322F</t>
  </si>
  <si>
    <t>Z1334531DD</t>
  </si>
  <si>
    <t>AttivaSottoscrizione abbonamento Modulo 24 Revisione Legale e  Crisi d'Impresa</t>
  </si>
  <si>
    <t>Corso di Formazione</t>
  </si>
  <si>
    <t>97312710581</t>
  </si>
  <si>
    <t>SOCIETA' ITALIANA DEGLI STUDIOSI DEL DIRITTO CIVILE-S.I.DI.C.</t>
  </si>
  <si>
    <t>96154600587</t>
  </si>
  <si>
    <t>ISTITUTO REGIONALE DI STUDI ARTURO CARLO JEMOLO</t>
  </si>
  <si>
    <t>02133771002</t>
  </si>
  <si>
    <t>UNIVERSITA' DEGLI STUDI DI ROMA LA SAPIENZA</t>
  </si>
  <si>
    <t>04597720962</t>
  </si>
  <si>
    <t>LAMERWEB PRODUCTIONS DI ENRICO CARLO BURSI &amp; C. SAS</t>
  </si>
  <si>
    <t>IL RUOLO DELL’AVVOCATO NELLE RELAZIONI CON TUTTE LE PARTI INTERESSATE ALLA LUCE DEL CODICE DEONTOLOGICO FORENSE”</t>
  </si>
  <si>
    <t>80098730155</t>
  </si>
  <si>
    <t>Ordine degli Avvocati della Provincia di Milano</t>
  </si>
  <si>
    <t>Corso Avanzato di Diritto Concorsuale</t>
  </si>
  <si>
    <t>02684930593</t>
  </si>
  <si>
    <t>FONDAZIONE AVVOCATURA PONTINA "MICHELE PIERRO"</t>
  </si>
  <si>
    <t>Think Complex - Tackling in management and economics</t>
  </si>
  <si>
    <t>02232720215</t>
  </si>
  <si>
    <t>LIBERA UNIVERSITA‘ DI BOLZANO</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</si>
  <si>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</si>
  <si>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</si>
  <si>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</si>
  <si>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</si>
  <si>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</si>
  <si>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</si>
  <si>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</si>
  <si>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IL PROCESSO DI LEGITTIMITA - Il ricorso per cassazione - Con le recentissime modifiche del d.l. 168/2016</t>
  </si>
  <si>
    <t>13740741007</t>
  </si>
  <si>
    <t>AS TEAM srl</t>
  </si>
  <si>
    <t>I RAPPORTI CIVILISTICI NELL'INTERPRETAZIONE DELLA CORTE COSTITUZIONALE NEL DECENNIO 2006-2016</t>
  </si>
  <si>
    <t>SOCIETA‘ ITALIANA DEGLI STUDIOSI DEL DIRITTO CIVILE</t>
  </si>
  <si>
    <t>ZB61F3F185</t>
  </si>
  <si>
    <t>Servizi di ripresa audio/video e di trasmissione in streaming</t>
  </si>
  <si>
    <t>LAMERWEB PRODUCTIONS SAS</t>
  </si>
  <si>
    <t>Corso Robert Schuman sulla Convenzione Europea dei Diritti dell'Uomo</t>
  </si>
  <si>
    <t>11338301002</t>
  </si>
  <si>
    <t>DUit srl</t>
  </si>
  <si>
    <t>Seminario sulla Better Regulation - Relatore</t>
  </si>
  <si>
    <t>SRPFNC75B06F839O</t>
  </si>
  <si>
    <t>Dott. Francesco Sarpi</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</si>
  <si>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</si>
  <si>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</si>
  <si>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</si>
  <si>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</si>
  <si>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</si>
  <si>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</si>
  <si>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</si>
  <si>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</si>
  <si>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Servizio di misurazione dei campi elettromagnetici presso le sedi di Roma e Milano</t>
  </si>
  <si>
    <t>International Risk Management Conference</t>
  </si>
  <si>
    <t>94191680480</t>
  </si>
  <si>
    <t xml:space="preserve">THE RISK BANKING AND FINANCE SOCIETY </t>
  </si>
  <si>
    <t>XXVI AiIG 2018 School of Management Research - Defining the impact of research: scope, methods and practices</t>
  </si>
  <si>
    <t>92040710284</t>
  </si>
  <si>
    <t>Associazione Italiana di Ingegneria Gestionale</t>
  </si>
  <si>
    <t>Rimborso spese di viaggio e alloggio relative a docenza a titolo gratuito</t>
  </si>
  <si>
    <t>SMNGRG90T52B563G</t>
  </si>
  <si>
    <t>Prof. Giorgia SIMION</t>
  </si>
  <si>
    <t>BNIMRA57R20F205C</t>
  </si>
  <si>
    <t>Prof. Mauro BINI</t>
  </si>
  <si>
    <t>PRVLSN75C22B936K</t>
  </si>
  <si>
    <t>Prof. Alessandro PREVITERO</t>
  </si>
  <si>
    <t>Master di II livello Giuristi e Consulenti d’Impresa</t>
  </si>
  <si>
    <t>04400441004</t>
  </si>
  <si>
    <t xml:space="preserve">UNIVERSITA' DEGLI STUDI DI ROMA TRE </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</si>
  <si>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</si>
  <si>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</si>
  <si>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</si>
  <si>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</si>
  <si>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</si>
  <si>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</si>
  <si>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</si>
  <si>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</si>
  <si>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</si>
  <si>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</si>
  <si>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</si>
  <si>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Master nella Disciplina dei Contratti Pubblici</t>
  </si>
  <si>
    <t>ZD427239C7</t>
  </si>
  <si>
    <t>Corso interno rivolto al personale della Divisione Infrastrutture Informatiche sull'utilizzo del software Java Standard Edition</t>
  </si>
  <si>
    <t>09768170152</t>
  </si>
  <si>
    <t>TXT E-SOLUTIONS SPA</t>
  </si>
  <si>
    <t>VLLFNC58B05E715R</t>
  </si>
  <si>
    <t>Prof. Francesco VELLA</t>
  </si>
  <si>
    <t>Global Financial Challanges in Risk Management - Financial and Credit Vulnerability in the Future - New Financial and Accounting Regulation: Challanges for Markets and Institutions</t>
  </si>
  <si>
    <t>Le procedure sotto-soglia e gli affidamenti diretti dopo il Decreto "Sblocca-cantieri" (D.L. 18 aorile 2019, n. 32)</t>
  </si>
  <si>
    <t>06188330150</t>
  </si>
  <si>
    <t>Maggioli SPA</t>
  </si>
  <si>
    <t>Gli appalti pubblici dopo la conversione del Decreto Sblocca - cantieri</t>
  </si>
  <si>
    <t>BRNNCL66L08L219S</t>
  </si>
  <si>
    <t>Prof. Nicolò ABRIANI</t>
  </si>
  <si>
    <t>Z3D287DEE3</t>
  </si>
  <si>
    <t>Misurazione della concentrazione di gas radon nelle sedi di Milano</t>
  </si>
  <si>
    <t>13015060158</t>
  </si>
  <si>
    <t>Agenzia Regionale per la Protezione dell'Ambiente della Lombardia</t>
  </si>
  <si>
    <t>Rimborso spese di viaggio relative a docenza a titolo gratuito</t>
  </si>
  <si>
    <t>BTTSFN72L28L736L</t>
  </si>
  <si>
    <t>Prof. Stefano BATTISTON</t>
  </si>
  <si>
    <t>NRQLCU70B17A944S</t>
  </si>
  <si>
    <t>Prof. Luca ENRIQUES</t>
  </si>
  <si>
    <t xml:space="preserve">56° Corso di Formazione per Analisti Finanziari AIAF-CEFA-CIIA </t>
  </si>
  <si>
    <t>10352760150</t>
  </si>
  <si>
    <t>AIAF - FORMAZIONE E CULTURA SRL</t>
  </si>
  <si>
    <t>BRNGLN62B56G491R</t>
  </si>
  <si>
    <t>Prof. Giuliana BIRINDELLI</t>
  </si>
  <si>
    <t>18th International Conference on Credit</t>
  </si>
  <si>
    <t>02398410270</t>
  </si>
  <si>
    <t>NEXA sas</t>
  </si>
  <si>
    <t>ITAIAS 2019</t>
  </si>
  <si>
    <t>09935291006</t>
  </si>
  <si>
    <t>MEETER Congressi Srl</t>
  </si>
  <si>
    <t>M&amp;A e Operazioni di riassetto societario</t>
  </si>
  <si>
    <t>03628350153</t>
  </si>
  <si>
    <t>SDA BOCCONI</t>
  </si>
  <si>
    <t>Z3529E2614</t>
  </si>
  <si>
    <t>Affidamento dei sopralluoghi presso le abitazioni dei dipendenti in telelavoro – Annualità 2019/2020.</t>
  </si>
  <si>
    <t>Introduzione alla modellazione casuale in STATA</t>
  </si>
  <si>
    <t>01501640666</t>
  </si>
  <si>
    <t>Tstat srl</t>
  </si>
  <si>
    <t>La nuova gestione delle trasferte, la dematerializzazione di note spese e giustificativi e il nuovo documento commerciale</t>
  </si>
  <si>
    <t>01593590605</t>
  </si>
  <si>
    <t>ITA SRL</t>
  </si>
  <si>
    <t>Analytics Experience 2019</t>
  </si>
  <si>
    <t>SAS Institute srl</t>
  </si>
  <si>
    <t>Z9E2A55649</t>
  </si>
  <si>
    <t>Corso interno "Laboratorio sulla sustainable business transformation"</t>
  </si>
  <si>
    <t>09018641002</t>
  </si>
  <si>
    <t>UP CONSULTING SRL</t>
  </si>
  <si>
    <t>Le procedure sotto-soglia e gli affidamenti diretti dopo la conversione del Decreto Sblocca-cantieri e l'aggiornamento delle Linee guida ANAC n. 4</t>
  </si>
  <si>
    <t>SBBRCR53D13H501Z</t>
  </si>
  <si>
    <t>Dott. Riccardo SABBATINI</t>
  </si>
  <si>
    <t>Videomaking per la comunicazione e il giornalismo digitale</t>
  </si>
  <si>
    <t>14848261005</t>
  </si>
  <si>
    <t>FEICOM Servizi</t>
  </si>
  <si>
    <t>Corso di Perfezionamento in Sicurezza sul lavoro</t>
  </si>
  <si>
    <t>La gestione della contrattualistica e della documentazione ISDA</t>
  </si>
  <si>
    <t>06695270964</t>
  </si>
  <si>
    <t>BIT MARKET SERVICES S.p.A.</t>
  </si>
  <si>
    <t>Sessione formativa di 30 gg. destinata al personale della Divisione Infrastrutture Informative da fruirsi nell'esercizio 2020</t>
  </si>
  <si>
    <t>POLITECNICO DI TORINO</t>
  </si>
  <si>
    <t>Corso in streaming: "Gli indicatori e gli indici di allerta nella crisi dimpresa"</t>
  </si>
  <si>
    <t>10336480016</t>
  </si>
  <si>
    <t>CONVENIA</t>
  </si>
  <si>
    <t>Z442B03326</t>
  </si>
  <si>
    <t>Affidamento analisi acqua potabile per la sede di Roma</t>
  </si>
  <si>
    <t>Delta APS Service Srl</t>
  </si>
  <si>
    <t>REGOLAMENTO SFTR: SFIDE ED OPPORTUNITÀ</t>
  </si>
  <si>
    <t>08953850966</t>
  </si>
  <si>
    <t>ASSIOM FOREX SERVIZI srl</t>
  </si>
  <si>
    <t>LA NULLITÀ SELETTIVA NEI CONTRATTI DI INVESTIMENTO</t>
  </si>
  <si>
    <t>01933200220</t>
  </si>
  <si>
    <t>Bancaria Consulting srl</t>
  </si>
  <si>
    <t>L’ARMONIZZAZIONE DEI SISTEMI CONTABILI PUBBLICI E RUDIMENTI DI CONTABILITA’ ECONOMICO-PATRIMONIALE</t>
  </si>
  <si>
    <t>02145541005</t>
  </si>
  <si>
    <t xml:space="preserve">CEIDA CENTRO ITALIANO DI DIREZIONE AZIENDALE SRL </t>
  </si>
  <si>
    <t>ZCB2C1FA98</t>
  </si>
  <si>
    <t>Corso interno "Laboratorio sulla sustainable business transformation" - Edizione 2020</t>
  </si>
  <si>
    <t>MASTER I LIVELLO IN DATA SCIENCE</t>
  </si>
  <si>
    <t>Corso in streaming "Attuazione della SHRD II"</t>
  </si>
  <si>
    <t>06222110014</t>
  </si>
  <si>
    <t>PARADIGMA SRL</t>
  </si>
  <si>
    <t>Corso di perfezionamento in INNOVAZIONE TECNOLOGICA, NUOVI MERCATI E REGOLE. PIATTAFORME, BLOCKCHAIN, FINTECH E UTENTE DIGITALE</t>
  </si>
  <si>
    <t>03064870151</t>
  </si>
  <si>
    <t>Universita degli studi di Milano - Facoltà di Giurisprudenza</t>
  </si>
  <si>
    <t>Le procedure sotto-soglia e gli affidamenti diretti</t>
  </si>
  <si>
    <t>Servizi di ripresa audio/video e trasmissione in streaming di Convegno</t>
  </si>
  <si>
    <t>Gli acquisti di beni e servizi informatici dopo il Piano triennale ICT 2019-2021 e il Decreto Legge Covid-ter</t>
  </si>
  <si>
    <t>La sorte dei contratti nell'emergenza sanitaria</t>
  </si>
  <si>
    <t>Verifica dei requisiti e soccorso istruttorio: dalle novità del decreto sblocca cantieri alla prassi operativa</t>
  </si>
  <si>
    <t>Covid-19: impatti sul bilancio delle banche</t>
  </si>
  <si>
    <t>00988761003</t>
  </si>
  <si>
    <t>ABISERVIZI SPA</t>
  </si>
  <si>
    <t>Corso in streaming "Bilancio IAS/IFRS"</t>
  </si>
  <si>
    <t>RIMBORSI SPESE E BUONI PASTO AGLI SMART WORKERS</t>
  </si>
  <si>
    <t xml:space="preserve"> Il mercato AIM Italia: governo societario e adempimenti informativi</t>
  </si>
  <si>
    <t xml:space="preserve">Micro-acquisti infra 5.000 euro e principio di rotazione </t>
  </si>
  <si>
    <t>L'INFORTUNIO SULLAVORO DA COVID-19</t>
  </si>
  <si>
    <t>ZC12D8318F</t>
  </si>
  <si>
    <t xml:space="preserve">Corsi interni a distanza sulle tematiche della sicurezza </t>
  </si>
  <si>
    <t>08327990589</t>
  </si>
  <si>
    <t>INFORMA SRL</t>
  </si>
  <si>
    <t>LA BLOCKCHAIN DAI BITCOIN AI MERCATI FINANZIARI</t>
  </si>
  <si>
    <t>ZDD2D689B3</t>
  </si>
  <si>
    <t>Limplementazione dei progetti di Intelligenza Artificiale: aspetti legali</t>
  </si>
  <si>
    <t>06074801009</t>
  </si>
  <si>
    <t>Prof. Alessandro DEL NINNO</t>
  </si>
  <si>
    <t>Digital HR Master</t>
  </si>
  <si>
    <t>03340710981</t>
  </si>
  <si>
    <t>TALENT GARDEN SpA</t>
  </si>
  <si>
    <t>834585516C</t>
  </si>
  <si>
    <t>Servizio di formazione e action learning area FINTECH per attività istituzionale 2020-2021</t>
  </si>
  <si>
    <t>04376620151</t>
  </si>
  <si>
    <t>Rientro cervelli e impatriati</t>
  </si>
  <si>
    <t>02774280016</t>
  </si>
  <si>
    <t>SOI SRL</t>
  </si>
  <si>
    <t>Z3A2E991DG</t>
  </si>
  <si>
    <t>Webinar: "Lo sviluppo del portale della formazione con l'applicativo MOODLE"</t>
  </si>
  <si>
    <t>14966731003</t>
  </si>
  <si>
    <t>LINFA DIGITAL srl</t>
  </si>
  <si>
    <t>La conversione del Decreto Semplificazioni 76/2020</t>
  </si>
  <si>
    <t>Il procedimento amministrativo dopo la conversione del Decreto Semplificazioni</t>
  </si>
  <si>
    <t>Z082E6FD40</t>
  </si>
  <si>
    <t>Acquisto di n. 27 utenze corso e-learning sulla sicurezza dei lavoratori</t>
  </si>
  <si>
    <t>Stampa di n. 1000 opuscoli sulla sicurezza per la protezione contro il coronavirus nei luoghi di lavoro</t>
  </si>
  <si>
    <t>00390310589</t>
  </si>
  <si>
    <t>EPC srl</t>
  </si>
  <si>
    <t>Corso in streaming "La disciplina dei concorsi pubblici alla luce dell'emergenza COVID-19"</t>
  </si>
  <si>
    <t>Post trading obbligazionario e azionario</t>
  </si>
  <si>
    <t>Le nuove procedure negoziate sotto-soglia dopo la conversione del Decreto Semplificazioni</t>
  </si>
  <si>
    <t>La contabilità delle P.A.: integrazione e riconciliazione tra finanziaria ed economico-patrimoniale</t>
  </si>
  <si>
    <t>Le spese di formazione delle P.A.</t>
  </si>
  <si>
    <t>Tecniche di redazione dellatto in tema di risarcimento del danno patrimoniale e non patrimoniale</t>
  </si>
  <si>
    <t>02500870411</t>
  </si>
  <si>
    <t>FORM &amp; LEX - JN EVENTS</t>
  </si>
  <si>
    <t>Data Driven Banking - Dati, Intelligenza Artificiale e Fintech alla prova dei fatti</t>
  </si>
  <si>
    <t>XXXII Convegno Nazionale AIF</t>
  </si>
  <si>
    <t>02320310150</t>
  </si>
  <si>
    <t>AIF - ASSOCIAZIONE ITALIANA FORMATORI</t>
  </si>
  <si>
    <t>Il recupero di emolumenti indebiti pagati ai dipendenti pubblici</t>
  </si>
  <si>
    <t>CORSO FP - IFPUG FP (CPM v4.3.1) - FUNCTION POINT ANALYSIS</t>
  </si>
  <si>
    <t>05724831002</t>
  </si>
  <si>
    <t xml:space="preserve">ENGINEERING - INGEGNERIA INFORMATICA - SPA </t>
  </si>
  <si>
    <t xml:space="preserve">57° Corso di Formazione per Analisti Finanziari AIAF-CEFA-CIIA </t>
  </si>
  <si>
    <t>ZBE2F075FB</t>
  </si>
  <si>
    <t>Le competenze "soft" per la vigilanza</t>
  </si>
  <si>
    <t>09090580581</t>
  </si>
  <si>
    <t>Dott. Paolo Macchioni</t>
  </si>
  <si>
    <t>ZD82F0771B</t>
  </si>
  <si>
    <t>10268501003</t>
  </si>
  <si>
    <t>Dott. Stefano Cera</t>
  </si>
  <si>
    <t>Z952F076B2</t>
  </si>
  <si>
    <t>10491650585</t>
  </si>
  <si>
    <t>Prof.ssa Patrizia Cinti</t>
  </si>
  <si>
    <t>Z082F076EE</t>
  </si>
  <si>
    <t>MRTNTN65H10L049J</t>
  </si>
  <si>
    <t>Prof. Antonio Marturano</t>
  </si>
  <si>
    <t>STRUMENTI E TECNICHE PER LA PROFESSIONE DI INTERNAL AUDITOR (CORSO BASE)</t>
  </si>
  <si>
    <t>02893990156</t>
  </si>
  <si>
    <t>AIIA - ASSOCIAZIONE ITALIANA INTERNAL AUDITORS</t>
  </si>
  <si>
    <t>Proroga, rinnovo, estensioni, quinto d'obbligo, prestazioni supplementari e modifiche dei contratti</t>
  </si>
  <si>
    <t>Z6D2F23AB2</t>
  </si>
  <si>
    <t>L'OBBLIGO DELLE PA DI INTEGRARE I SISTEMI DI INCASSO DEI PAGAMENTI ENTRO IL 28.2.2021</t>
  </si>
  <si>
    <t>Il bilancio delle banche: novità, impatti e prospettive</t>
  </si>
  <si>
    <t>Intelligenza Artificiale: alleato o antagonista per i protagonisti dellasset management</t>
  </si>
  <si>
    <t>06725640962</t>
  </si>
  <si>
    <t xml:space="preserve">AIFO -Associazione Italiana Family Officer </t>
  </si>
  <si>
    <t>CIG IN SIMOG, SMART CIG, RUOLO DI RASA E RUP: ADEMPIMENTI PRATICI E COMPILAZIONE SCHEDE</t>
  </si>
  <si>
    <t>L'UTILIZZO DELLE CARTE DI CREDITO NELLE P.A.: DISCIPLINA E REGOLAMENTAZIONE</t>
  </si>
  <si>
    <t>CORSO FPCERT - PREPARAZIONE ALLA CERTIFICAZIONE IFPUG CFPP/CFPS (IFPUG CERTIFIED FUNCTION POINT PRACTIONER/CERTIFIED FUNCTION POINT SPECIALIST)</t>
  </si>
  <si>
    <t>RAPPORTI DI STAGE, TIROCINIO FORMATIVO, BORSE DI STUDIO E ASSEGNISTI DI RICERCA: DISCIPLINA E GESTIONE</t>
  </si>
  <si>
    <t>CU 2021 - LA NUOVA CERTIFICAZIONE UNICA PER I REDDITI DI LAVORO - NOVITA' E PROBLEMATICHE APPLICATIVE DI COMPILAZIONE</t>
  </si>
  <si>
    <t>Linee guida ESMA - Esternalizzazione di attività a fornitori di servizi in cloud</t>
  </si>
  <si>
    <t>05006400963</t>
  </si>
  <si>
    <t>INFORMA ISTITUTO NAZIONALE DI FORMAZIONE SRL</t>
  </si>
  <si>
    <t>Processi di trasformazione digitale della Pubblica Amministrazione e degli obblighi in materia di semplificazione e innovazione digitale</t>
  </si>
  <si>
    <t>04533430403</t>
  </si>
  <si>
    <t>Accademia Europea Societa' Cooperativa</t>
  </si>
  <si>
    <t>Z75330AA7E</t>
  </si>
  <si>
    <t>Corso interno "Laboratorio sulla sustainable business transformation 2021"</t>
  </si>
  <si>
    <t>B&amp;C Tech Law: European and International Perspectives</t>
  </si>
  <si>
    <t>01067231009</t>
  </si>
  <si>
    <t>LUISS - LIBERA UNIVERSITA' INTERNAZIONALE DEGLI STUDI SOCIALI GUIDO CARLI</t>
  </si>
  <si>
    <t>IT PER NON IT AUDITOR</t>
  </si>
  <si>
    <t>Executive programme in Organizzazione e Gestione delle risorse umane - moduli 2, 3 5 e 7</t>
  </si>
  <si>
    <t>Rimborso spese per valori bollati relativi al corso "B&amp;C Tech Law: European and International Perspectives"</t>
  </si>
  <si>
    <t>PLTNGL82M56H501Q</t>
  </si>
  <si>
    <t>Anna Giulia PLATANIA</t>
  </si>
  <si>
    <t xml:space="preserve">Master di II livello in Regolazione dell'attività e dei mercati finanziari </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</si>
  <si>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</si>
  <si>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</si>
  <si>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</si>
  <si>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</si>
  <si>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</si>
  <si>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</si>
  <si>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</si>
  <si>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</si>
  <si>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</si>
  <si>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</si>
  <si>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</si>
  <si>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</si>
  <si>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</si>
  <si>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NON FINANCIAL INFORMATION: programma di formazione per l'alta dirigenza</t>
  </si>
  <si>
    <t>Come gestire i rapporti e il flusso informativo tra P.A. e magistratura - Obblighi di trasmissione degli atti alle Procure - Prevenzione e repressione degli illeciti</t>
  </si>
  <si>
    <t>LE NUOVE GARE DAPPALTO TRA SEMPLIFICAZIONI E DIGITALIZZAZIONE</t>
  </si>
  <si>
    <t>GRI SUSTAINABILITY STANDARDS</t>
  </si>
  <si>
    <t>00891231003</t>
  </si>
  <si>
    <t>ERNST &amp; YOUNG SPA</t>
  </si>
  <si>
    <t>Le pensioni per i lavoratori del settore privato</t>
  </si>
  <si>
    <t>INTELLIGENZA ARTIFICIALE: REGOLE ATTUALI,SCENARI FUTURI, RISCHI E OPPORTUNITA'</t>
  </si>
  <si>
    <t>ZC131818AE</t>
  </si>
  <si>
    <t>Corso di formazione sulle tematiche Fintech</t>
  </si>
  <si>
    <t>02654890025</t>
  </si>
  <si>
    <t>FABRICK SPA</t>
  </si>
  <si>
    <t>Corso in streaming per  n. 12 utenti "Flussi informativi tra società quotate e azionisti"</t>
  </si>
  <si>
    <t>Corso e-learning "Access Specialist"</t>
  </si>
  <si>
    <t>13972011004</t>
  </si>
  <si>
    <t>UNISAPIENS SRL</t>
  </si>
  <si>
    <t>Corso e-learning "Verifica dei requisiti e soccorso istruttorio dopo la Legge di conversione del Decreto Semplificazioni (Legge n. 120/2020)"</t>
  </si>
  <si>
    <t>Guida all'informazione societaria per le Società Quotate</t>
  </si>
  <si>
    <t>Pubblicazione di atti, informazioni e dati sui siti web in Amministrazione Trasparente</t>
  </si>
  <si>
    <t>Il Nuovo soggettario: conoscerlo e applicarlo</t>
  </si>
  <si>
    <t>01172631002</t>
  </si>
  <si>
    <t>Biblionova S.C.</t>
  </si>
  <si>
    <t xml:space="preserve">58° Corso di Formazione per Analisti Finanziari AIAF-CEFA-CIIA </t>
  </si>
  <si>
    <t>DATA DRIVEN (PERCORSO PROGRAMMAZIONE PYTHON e PERCORSO PROFESSIONALIZZANTE DIVENTA DATA SCIENTIST)</t>
  </si>
  <si>
    <t>La gestione economale per modiche spese e anticipazioni al personale</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</si>
  <si>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</si>
  <si>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</si>
  <si>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</si>
  <si>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</si>
  <si>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</si>
  <si>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ZD03287C3A</t>
  </si>
  <si>
    <t>Corso su time management e problem solving</t>
  </si>
  <si>
    <t>ZF53287C65</t>
  </si>
  <si>
    <t>Attività di sperimentazione Virtual Reality</t>
  </si>
  <si>
    <t>12555611008</t>
  </si>
  <si>
    <t>Gestione 3C S.r.l. Unipersonale</t>
  </si>
  <si>
    <t>863160629B</t>
  </si>
  <si>
    <t>Servizio di formazione / coaching per il personale dirigente 2021</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</si>
  <si>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</si>
  <si>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</si>
  <si>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</si>
  <si>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</si>
  <si>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</si>
  <si>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</si>
  <si>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Z773324CB6</t>
  </si>
  <si>
    <t>Corso di formazione per addetti al centralino sedi di RM e MI</t>
  </si>
  <si>
    <t>02359180284</t>
  </si>
  <si>
    <t>BSD  srl</t>
  </si>
  <si>
    <t>Corso online "Risk Management during and after pandemic storm"</t>
  </si>
  <si>
    <t>Corso online "Governance societaria e responsabilità"</t>
  </si>
  <si>
    <t>Master in compliance in finance Institutions</t>
  </si>
  <si>
    <t>02133120150</t>
  </si>
  <si>
    <t>UNIVERSITA' CATTOLICA DEL SACRO CUORE</t>
  </si>
  <si>
    <t>IFRS vs BASEL requirements for banks</t>
  </si>
  <si>
    <t>DEUTSCHE BUNDESBANK</t>
  </si>
  <si>
    <t>RINNOVI, PROROGHE E VARIANTI NEI CONTRATTI PUBBLICI: REGOLE E GESTIONE IN SIMOG</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</si>
  <si>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</si>
  <si>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</si>
  <si>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</si>
  <si>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</si>
  <si>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</si>
  <si>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</si>
  <si>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Z6534C4E25</t>
  </si>
  <si>
    <t xml:space="preserve">Corso interno per i dipendenti: 'Il nuovo sistema di feedback" </t>
  </si>
  <si>
    <t>La costruzione di un sistema di indicatori di esposizione al rischio corruttivo</t>
  </si>
  <si>
    <t>ZDD338AC40</t>
  </si>
  <si>
    <t>Rinnovo atto integrativo al contratto per i “Servizi di assistenza sanitaria e di medicina preventiva per il personale in servizio e in quiescenza della Consob” per la copertura dei rischi legati al Covid-19 per il periodo 1.4.2021- 31.3.2022</t>
  </si>
  <si>
    <t>quota CONSOB del contratto per la vigilanza armata fissa presso la sede di Roma comprese aree condominiali CONSOB-AGCM (inclusa opzione di proroga)(CIG derivato CONSOB 8660984618)- Lotto 5 (CIG 8009713045) della gara svolta da BdI in qualità di SA</t>
  </si>
  <si>
    <t>21559022913</t>
  </si>
  <si>
    <t>TAXI1729 S.N.C.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</si>
</sst>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000000000"/>
    <numFmt numFmtId="165" formatCode="0.00;[Red]0.00"/>
    <numFmt numFmtId="166" formatCode="_-[$€-2]\ * #,##0.00_-;\-[$€-2]\ * #,##0.00_-;_-[$€-2]\ * &quot;-&quot;??_-"/>
    <numFmt numFmtId="167" formatCode="dd/mm/yy;@"/>
  </numFmts>
  <fonts count="21">
    <font>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z val="11"/>
      <color theme="1"/>
      <name val="Calibri"/>
      <family val="2"/>
      <scheme val="minor"/>
    </font>
    <font>
      <b/>
      <sz val="10"/>
      <name val="Verdana"/>
      <family val="2"/>
    </font>
    <font>
      <b/>
      <sz val="11"/>
      <name val="Calibri"/>
      <family val="2"/>
      <scheme val="minor"/>
    </font>
    <font>
      <u/>
      <sz val="11"/>
      <color theme="10"/>
      <name val="Calibri"/>
      <family val="2"/>
      <scheme val="minor"/>
    </font>
    <font>
      <u/>
      <sz val="11"/>
      <name val="Calibri"/>
      <family val="2"/>
      <scheme val="minor"/>
    </font>
    <font>
      <sz val="11"/>
      <name val="Calibri"/>
      <family val="2"/>
    </font>
    <font>
      <sz val="10"/>
      <name val="Calibri"/>
      <family val="2"/>
      <scheme val="minor"/>
    </font>
    <font>
      <i/>
      <sz val="11"/>
      <name val="Calibri"/>
      <family val="2"/>
      <scheme val="minor"/>
    </font>
    <font>
      <sz val="12"/>
      <name val="Times-Italic"/>
    </font>
    <font>
      <sz val="10"/>
      <name val="Arial"/>
      <family val="2"/>
    </font>
    <font>
      <sz val="11"/>
      <name val="Times New Roman"/>
      <family val="1"/>
    </font>
    <font>
      <sz val="11"/>
      <color rgb="FFFF0000"/>
      <name val="Calibri"/>
      <family val="2"/>
      <scheme val="minor"/>
    </font>
    <font>
      <sz val="12"/>
      <name val="Segoe UI"/>
      <family val="2"/>
    </font>
    <font>
      <sz val="11"/>
      <name val="Calibri "/>
    </font>
    <font>
      <i/>
      <sz val="11"/>
      <name val="Arial"/>
      <family val="2"/>
    </font>
    <font>
      <sz val="11"/>
      <name val="Calibri Light"/>
      <family val="2"/>
      <scheme val="major"/>
    </font>
    <font>
      <sz val="11"/>
      <name val="Arial"/>
      <family val="2"/>
    </font>
  </fonts>
  <fills count="18">
    <fill>
      <patternFill patternType="none"/>
    </fill>
    <fill>
      <patternFill patternType="gray125"/>
    </fill>
    <fill>
      <patternFill patternType="solid">
        <fgColor theme="4" tint="0.39997558519241921"/>
        <bgColor indexed="64"/>
      </patternFill>
    </fill>
    <fill>
      <patternFill patternType="solid">
        <fgColor rgb="FFFE6054"/>
        <bgColor indexed="64"/>
      </patternFill>
    </fill>
    <fill>
      <patternFill patternType="solid">
        <fgColor rgb="FFFF9966"/>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4" fillId="0" borderId="0" applyFont="0" applyFill="0" applyBorder="0" applyAlignment="0" applyProtection="0"/>
    <xf numFmtId="0" fontId="7" fillId="0" borderId="0" applyNumberFormat="0" applyFill="0" applyBorder="0" applyAlignment="0" applyProtection="0"/>
    <xf numFmtId="166" fontId="13" fillId="0" borderId="0" applyFont="0" applyFill="0" applyBorder="0" applyAlignment="0" applyProtection="0"/>
  </cellStyleXfs>
  <cellXfs count="150">
    <xf numFmtId="0" fontId="0" fillId="0" borderId="0" xfId="0"/>
    <xf numFmtId="0" fontId="3" fillId="0" borderId="0" xfId="0" applyFont="1"/>
    <xf numFmtId="0" fontId="0" fillId="14" borderId="0" xfId="0" applyFill="1"/>
    <xf numFmtId="4" fontId="2" fillId="0" borderId="1" xfId="0" applyNumberFormat="1" applyFont="1" applyBorder="1" applyAlignment="1">
      <alignment wrapText="1"/>
    </xf>
    <xf numFmtId="49" fontId="5" fillId="0" borderId="1" xfId="0" applyNumberFormat="1" applyFont="1" applyBorder="1" applyAlignment="1">
      <alignment horizontal="left"/>
    </xf>
    <xf numFmtId="49" fontId="2" fillId="0" borderId="1" xfId="0" applyNumberFormat="1" applyFont="1" applyBorder="1" applyAlignment="1">
      <alignment horizontal="right"/>
    </xf>
    <xf numFmtId="49" fontId="2" fillId="0" borderId="1" xfId="0" applyNumberFormat="1" applyFont="1" applyBorder="1" applyAlignment="1"/>
    <xf numFmtId="165" fontId="2" fillId="0" borderId="1" xfId="0" applyNumberFormat="1" applyFont="1" applyBorder="1" applyAlignment="1">
      <alignment horizontal="right"/>
    </xf>
    <xf numFmtId="0" fontId="2" fillId="0" borderId="1" xfId="0" applyFont="1" applyBorder="1" applyAlignment="1"/>
    <xf numFmtId="165" fontId="2" fillId="0" borderId="1" xfId="0" applyNumberFormat="1" applyFont="1" applyBorder="1" applyAlignment="1"/>
    <xf numFmtId="14" fontId="6" fillId="0" borderId="1" xfId="0" applyNumberFormat="1" applyFont="1" applyBorder="1" applyAlignment="1">
      <alignment horizontal="left"/>
    </xf>
    <xf numFmtId="49" fontId="6" fillId="0" borderId="1" xfId="0" applyNumberFormat="1" applyFont="1" applyBorder="1" applyAlignment="1">
      <alignment horizontal="left"/>
    </xf>
    <xf numFmtId="0" fontId="6" fillId="0" borderId="1" xfId="0" applyFont="1" applyBorder="1" applyAlignment="1">
      <alignment horizontal="left"/>
    </xf>
    <xf numFmtId="49" fontId="8" fillId="0" borderId="1" xfId="2" applyNumberFormat="1" applyFont="1" applyBorder="1" applyAlignment="1">
      <alignment horizontal="left"/>
    </xf>
    <xf numFmtId="49" fontId="2" fillId="4" borderId="1" xfId="0" applyNumberFormat="1" applyFont="1" applyFill="1" applyBorder="1" applyAlignment="1">
      <alignment horizontal="center"/>
    </xf>
    <xf numFmtId="49" fontId="2" fillId="5" borderId="1" xfId="0" applyNumberFormat="1" applyFont="1" applyFill="1" applyBorder="1" applyAlignment="1">
      <alignment horizontal="center"/>
    </xf>
    <xf numFmtId="49" fontId="2" fillId="5" borderId="1" xfId="0" applyNumberFormat="1" applyFont="1" applyFill="1" applyBorder="1" applyAlignment="1">
      <alignment horizontal="center" wrapText="1"/>
    </xf>
    <xf numFmtId="49" fontId="2" fillId="6" borderId="1" xfId="0" applyNumberFormat="1" applyFont="1" applyFill="1" applyBorder="1" applyAlignment="1">
      <alignment horizontal="center" wrapText="1"/>
    </xf>
    <xf numFmtId="49" fontId="2" fillId="7" borderId="1" xfId="0" applyNumberFormat="1" applyFont="1" applyFill="1" applyBorder="1" applyAlignment="1">
      <alignment horizontal="center" wrapText="1"/>
    </xf>
    <xf numFmtId="165" fontId="2" fillId="8" borderId="1" xfId="0" applyNumberFormat="1" applyFont="1" applyFill="1" applyBorder="1" applyAlignment="1">
      <alignment horizontal="right"/>
    </xf>
    <xf numFmtId="165" fontId="2" fillId="12" borderId="1" xfId="0" applyNumberFormat="1" applyFont="1" applyFill="1" applyBorder="1" applyAlignment="1">
      <alignment horizontal="center"/>
    </xf>
    <xf numFmtId="49" fontId="2" fillId="0" borderId="1" xfId="0" applyNumberFormat="1" applyFont="1" applyFill="1" applyBorder="1" applyAlignment="1">
      <alignment wrapText="1"/>
    </xf>
    <xf numFmtId="0" fontId="2" fillId="0" borderId="1" xfId="0" applyFont="1" applyFill="1" applyBorder="1" applyAlignment="1">
      <alignment wrapText="1"/>
    </xf>
    <xf numFmtId="49" fontId="2" fillId="0" borderId="1" xfId="0" applyNumberFormat="1" applyFont="1" applyFill="1" applyBorder="1" applyAlignment="1">
      <alignment horizontal="right" wrapText="1"/>
    </xf>
    <xf numFmtId="49" fontId="2" fillId="0" borderId="1" xfId="0" applyNumberFormat="1" applyFont="1" applyFill="1" applyBorder="1" applyAlignment="1">
      <alignment horizontal="right"/>
    </xf>
    <xf numFmtId="0" fontId="2" fillId="0" borderId="1" xfId="0" applyFont="1" applyFill="1" applyBorder="1" applyAlignment="1"/>
    <xf numFmtId="165" fontId="2" fillId="0" borderId="1" xfId="0" applyNumberFormat="1" applyFont="1" applyFill="1" applyBorder="1" applyAlignment="1">
      <alignment horizontal="right"/>
    </xf>
    <xf numFmtId="14" fontId="2" fillId="0" borderId="1" xfId="0" applyNumberFormat="1" applyFont="1" applyFill="1" applyBorder="1" applyAlignment="1"/>
    <xf numFmtId="165" fontId="2" fillId="0" borderId="1" xfId="0" applyNumberFormat="1" applyFont="1" applyFill="1" applyBorder="1" applyAlignment="1"/>
    <xf numFmtId="49" fontId="2" fillId="0" borderId="1" xfId="0" applyNumberFormat="1" applyFont="1" applyFill="1" applyBorder="1" applyAlignment="1"/>
    <xf numFmtId="0" fontId="2" fillId="0" borderId="1" xfId="0" applyFont="1" applyFill="1" applyBorder="1" applyAlignment="1">
      <alignment horizontal="left"/>
    </xf>
    <xf numFmtId="164" fontId="2" fillId="0" borderId="1" xfId="0" applyNumberFormat="1" applyFont="1" applyFill="1" applyBorder="1" applyAlignment="1">
      <alignment horizontal="left"/>
    </xf>
    <xf numFmtId="49" fontId="2" fillId="0" borderId="1" xfId="0" applyNumberFormat="1" applyFont="1" applyFill="1" applyBorder="1" applyAlignment="1">
      <alignment horizontal="left" wrapText="1"/>
    </xf>
    <xf numFmtId="0" fontId="9" fillId="0" borderId="1" xfId="0" applyFont="1" applyFill="1" applyBorder="1" applyAlignment="1">
      <alignment wrapText="1"/>
    </xf>
    <xf numFmtId="164" fontId="2" fillId="0" borderId="1" xfId="0" applyNumberFormat="1" applyFont="1" applyFill="1" applyBorder="1" applyAlignment="1">
      <alignment wrapText="1"/>
    </xf>
    <xf numFmtId="165" fontId="2" fillId="0" borderId="1" xfId="1" applyNumberFormat="1" applyFont="1" applyFill="1" applyBorder="1" applyAlignment="1"/>
    <xf numFmtId="49" fontId="2" fillId="0" borderId="1" xfId="0" quotePrefix="1" applyNumberFormat="1" applyFont="1" applyFill="1" applyBorder="1" applyAlignment="1">
      <alignment horizontal="right" wrapText="1"/>
    </xf>
    <xf numFmtId="49" fontId="2" fillId="0" borderId="1" xfId="0" quotePrefix="1" applyNumberFormat="1" applyFont="1" applyFill="1" applyBorder="1" applyAlignment="1">
      <alignment horizontal="right"/>
    </xf>
    <xf numFmtId="165" fontId="9" fillId="0" borderId="1" xfId="0" applyNumberFormat="1" applyFont="1" applyFill="1" applyBorder="1" applyAlignment="1">
      <alignment horizontal="right" wrapText="1"/>
    </xf>
    <xf numFmtId="4" fontId="2" fillId="0" borderId="1" xfId="0" applyNumberFormat="1" applyFont="1" applyFill="1" applyBorder="1" applyAlignment="1">
      <alignment horizontal="right" wrapText="1"/>
    </xf>
    <xf numFmtId="0" fontId="2" fillId="0" borderId="1" xfId="0" applyFont="1" applyFill="1" applyBorder="1" applyAlignment="1">
      <alignment horizontal="right"/>
    </xf>
    <xf numFmtId="4" fontId="2" fillId="0" borderId="1" xfId="0" applyNumberFormat="1" applyFont="1" applyFill="1" applyBorder="1" applyAlignment="1"/>
    <xf numFmtId="0" fontId="2" fillId="0" borderId="1" xfId="0" applyFont="1" applyFill="1" applyBorder="1" applyAlignment="1">
      <alignment horizontal="left" wrapText="1"/>
    </xf>
    <xf numFmtId="49" fontId="2" fillId="0" borderId="1" xfId="0" applyNumberFormat="1" applyFont="1" applyFill="1" applyBorder="1" applyAlignment="1">
      <alignment horizontal="left"/>
    </xf>
    <xf numFmtId="0" fontId="2" fillId="0" borderId="1" xfId="0" applyFont="1" applyFill="1" applyBorder="1" applyAlignment="1">
      <alignment horizontal="right" wrapText="1"/>
    </xf>
    <xf numFmtId="49" fontId="2" fillId="0" borderId="1" xfId="1" quotePrefix="1" applyNumberFormat="1" applyFont="1" applyFill="1" applyBorder="1" applyAlignment="1">
      <alignment horizontal="right"/>
    </xf>
    <xf numFmtId="4" fontId="2" fillId="0" borderId="1" xfId="0" applyNumberFormat="1" applyFont="1" applyFill="1" applyBorder="1" applyAlignment="1">
      <alignment wrapText="1"/>
    </xf>
    <xf numFmtId="49" fontId="2" fillId="0" borderId="1" xfId="0" quotePrefix="1" applyNumberFormat="1" applyFont="1" applyFill="1" applyBorder="1" applyAlignment="1"/>
    <xf numFmtId="0" fontId="9" fillId="0" borderId="1" xfId="0" applyFont="1" applyFill="1" applyBorder="1" applyAlignment="1">
      <alignment horizontal="left"/>
    </xf>
    <xf numFmtId="49" fontId="2" fillId="0" borderId="1" xfId="1" applyNumberFormat="1" applyFont="1" applyFill="1" applyBorder="1" applyAlignment="1">
      <alignment horizontal="right"/>
    </xf>
    <xf numFmtId="49" fontId="2" fillId="0" borderId="1" xfId="0" applyNumberFormat="1" applyFont="1" applyFill="1" applyBorder="1" applyAlignment="1">
      <alignment horizontal="center" wrapText="1"/>
    </xf>
    <xf numFmtId="49" fontId="1" fillId="13" borderId="1" xfId="0" applyNumberFormat="1" applyFont="1" applyFill="1" applyBorder="1" applyAlignment="1">
      <alignment horizontal="center"/>
    </xf>
    <xf numFmtId="49" fontId="1" fillId="13" borderId="1" xfId="0" applyNumberFormat="1" applyFont="1" applyFill="1" applyBorder="1" applyAlignment="1">
      <alignment horizontal="center" wrapText="1"/>
    </xf>
    <xf numFmtId="164" fontId="2" fillId="0" borderId="1" xfId="0" applyNumberFormat="1" applyFont="1" applyFill="1" applyBorder="1" applyAlignment="1"/>
    <xf numFmtId="0" fontId="10" fillId="0" borderId="1" xfId="0" applyFont="1" applyFill="1" applyBorder="1" applyAlignment="1">
      <alignment wrapText="1"/>
    </xf>
    <xf numFmtId="0" fontId="2" fillId="0" borderId="2" xfId="0" applyFont="1" applyFill="1" applyBorder="1" applyAlignment="1"/>
    <xf numFmtId="49" fontId="1" fillId="13" borderId="1" xfId="0" applyNumberFormat="1" applyFont="1" applyFill="1" applyBorder="1" applyAlignment="1">
      <alignment horizontal="right" wrapText="1"/>
    </xf>
    <xf numFmtId="165" fontId="1" fillId="13" borderId="1" xfId="0" applyNumberFormat="1" applyFont="1" applyFill="1" applyBorder="1" applyAlignment="1">
      <alignment horizontal="right"/>
    </xf>
    <xf numFmtId="165" fontId="1" fillId="13" borderId="1" xfId="0" applyNumberFormat="1" applyFont="1" applyFill="1" applyBorder="1" applyAlignment="1">
      <alignment horizontal="center"/>
    </xf>
    <xf numFmtId="0" fontId="1" fillId="0" borderId="1" xfId="0" applyFont="1" applyBorder="1" applyAlignment="1"/>
    <xf numFmtId="2" fontId="2" fillId="0" borderId="1" xfId="0" applyNumberFormat="1" applyFont="1" applyFill="1" applyBorder="1" applyAlignment="1"/>
    <xf numFmtId="49" fontId="9" fillId="0" borderId="1" xfId="0" applyNumberFormat="1" applyFont="1" applyFill="1" applyBorder="1" applyAlignment="1">
      <alignment horizontal="right" wrapText="1"/>
    </xf>
    <xf numFmtId="0" fontId="14" fillId="0" borderId="1" xfId="0" applyFont="1" applyFill="1" applyBorder="1" applyAlignment="1">
      <alignment wrapText="1"/>
    </xf>
    <xf numFmtId="0" fontId="2" fillId="0" borderId="3" xfId="0" applyFont="1" applyFill="1" applyBorder="1" applyAlignment="1"/>
    <xf numFmtId="49" fontId="2" fillId="0" borderId="1" xfId="0" applyNumberFormat="1" applyFont="1" applyFill="1" applyBorder="1"/>
    <xf numFmtId="0" fontId="9" fillId="0" borderId="1" xfId="0" applyFont="1" applyFill="1" applyBorder="1" applyAlignment="1">
      <alignment vertical="center" wrapText="1"/>
    </xf>
    <xf numFmtId="0" fontId="2" fillId="0" borderId="1" xfId="0" applyFont="1" applyFill="1" applyBorder="1"/>
    <xf numFmtId="4" fontId="2" fillId="0" borderId="1" xfId="0" applyNumberFormat="1" applyFont="1" applyFill="1" applyBorder="1" applyAlignment="1">
      <alignment horizontal="right"/>
    </xf>
    <xf numFmtId="0" fontId="2" fillId="0" borderId="1" xfId="0" quotePrefix="1" applyFont="1" applyFill="1" applyBorder="1" applyAlignment="1">
      <alignment horizontal="right"/>
    </xf>
    <xf numFmtId="0" fontId="9" fillId="0" borderId="1" xfId="0" applyFont="1" applyFill="1" applyBorder="1" applyAlignment="1">
      <alignment horizontal="left" wrapText="1"/>
    </xf>
    <xf numFmtId="49" fontId="2" fillId="0" borderId="1" xfId="0" quotePrefix="1" applyNumberFormat="1" applyFont="1" applyFill="1" applyBorder="1" applyAlignment="1">
      <alignment wrapText="1"/>
    </xf>
    <xf numFmtId="14" fontId="2" fillId="0" borderId="1" xfId="0" applyNumberFormat="1" applyFont="1" applyFill="1" applyBorder="1"/>
    <xf numFmtId="0" fontId="15" fillId="0" borderId="1" xfId="0" applyFont="1" applyBorder="1" applyAlignment="1"/>
    <xf numFmtId="0" fontId="15" fillId="0" borderId="1" xfId="0" applyFont="1" applyFill="1" applyBorder="1" applyAlignment="1"/>
    <xf numFmtId="49" fontId="2" fillId="0" borderId="1"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right" vertical="center" wrapText="1"/>
    </xf>
    <xf numFmtId="0" fontId="2" fillId="0" borderId="1" xfId="0" quotePrefix="1" applyFont="1" applyFill="1" applyBorder="1" applyAlignment="1">
      <alignment wrapText="1"/>
    </xf>
    <xf numFmtId="0" fontId="2" fillId="15" borderId="1" xfId="0" applyFont="1" applyFill="1" applyBorder="1" applyAlignment="1"/>
    <xf numFmtId="164" fontId="2" fillId="0" borderId="1" xfId="0" quotePrefix="1" applyNumberFormat="1" applyFont="1" applyFill="1" applyBorder="1" applyAlignment="1"/>
    <xf numFmtId="0" fontId="2" fillId="0" borderId="1" xfId="0" applyFont="1" applyFill="1" applyBorder="1" applyAlignment="1">
      <alignment vertical="top"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49" fontId="2" fillId="0" borderId="1" xfId="0" applyNumberFormat="1" applyFont="1" applyFill="1" applyBorder="1" applyAlignment="1">
      <alignment horizontal="right" vertical="center"/>
    </xf>
    <xf numFmtId="165" fontId="2" fillId="0" borderId="1" xfId="0" applyNumberFormat="1" applyFont="1" applyFill="1" applyBorder="1" applyAlignment="1">
      <alignment horizontal="right" vertical="center"/>
    </xf>
    <xf numFmtId="165"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 fontId="2" fillId="0" borderId="1" xfId="0" applyNumberFormat="1" applyFont="1" applyFill="1" applyBorder="1"/>
    <xf numFmtId="0" fontId="10" fillId="0" borderId="1" xfId="0" applyFont="1" applyFill="1" applyBorder="1" applyAlignment="1">
      <alignment vertical="top" wrapText="1"/>
    </xf>
    <xf numFmtId="4" fontId="10" fillId="0" borderId="1" xfId="0" applyNumberFormat="1" applyFont="1" applyFill="1" applyBorder="1" applyAlignment="1">
      <alignment horizontal="right" vertical="top" wrapText="1"/>
    </xf>
    <xf numFmtId="0" fontId="10" fillId="0" borderId="1" xfId="0" applyFont="1" applyFill="1" applyBorder="1" applyAlignment="1">
      <alignment horizontal="right" vertical="top" wrapText="1"/>
    </xf>
    <xf numFmtId="4" fontId="10" fillId="0" borderId="1" xfId="0" applyNumberFormat="1" applyFont="1" applyFill="1" applyBorder="1" applyAlignment="1">
      <alignment vertical="top" wrapText="1"/>
    </xf>
    <xf numFmtId="0" fontId="10" fillId="0" borderId="1" xfId="0" quotePrefix="1" applyFont="1" applyFill="1" applyBorder="1" applyAlignment="1">
      <alignment vertical="top" wrapText="1"/>
    </xf>
    <xf numFmtId="43" fontId="2" fillId="0" borderId="1" xfId="1" applyFont="1" applyFill="1" applyBorder="1" applyAlignment="1"/>
    <xf numFmtId="0" fontId="2" fillId="0" borderId="2" xfId="0" applyFont="1" applyBorder="1" applyAlignment="1"/>
    <xf numFmtId="165" fontId="2" fillId="0" borderId="1" xfId="0" applyNumberFormat="1" applyFont="1" applyFill="1" applyBorder="1"/>
    <xf numFmtId="164" fontId="2" fillId="0" borderId="1" xfId="0" applyNumberFormat="1" applyFont="1" applyFill="1" applyBorder="1"/>
    <xf numFmtId="49" fontId="2" fillId="0" borderId="1" xfId="0" applyNumberFormat="1" applyFont="1" applyFill="1" applyBorder="1" applyAlignment="1">
      <alignment horizontal="right" vertical="top" wrapText="1"/>
    </xf>
    <xf numFmtId="167" fontId="2" fillId="0" borderId="1" xfId="0" applyNumberFormat="1" applyFont="1" applyBorder="1" applyAlignment="1"/>
    <xf numFmtId="167" fontId="1" fillId="13" borderId="1" xfId="0" applyNumberFormat="1" applyFont="1" applyFill="1" applyBorder="1" applyAlignment="1">
      <alignment horizontal="center"/>
    </xf>
    <xf numFmtId="167" fontId="2" fillId="0" borderId="1" xfId="0" applyNumberFormat="1" applyFont="1" applyFill="1" applyBorder="1" applyAlignment="1"/>
    <xf numFmtId="167" fontId="2" fillId="0" borderId="1" xfId="0" applyNumberFormat="1" applyFont="1" applyFill="1" applyBorder="1" applyAlignment="1">
      <alignment wrapText="1"/>
    </xf>
    <xf numFmtId="167" fontId="2" fillId="0" borderId="1" xfId="0" applyNumberFormat="1" applyFont="1" applyFill="1" applyBorder="1"/>
    <xf numFmtId="167" fontId="2" fillId="0" borderId="1" xfId="0" applyNumberFormat="1" applyFont="1" applyFill="1" applyBorder="1" applyAlignment="1">
      <alignment horizontal="center" vertical="center"/>
    </xf>
    <xf numFmtId="167" fontId="10" fillId="0" borderId="1" xfId="0" applyNumberFormat="1" applyFont="1" applyFill="1" applyBorder="1" applyAlignment="1">
      <alignment wrapText="1"/>
    </xf>
    <xf numFmtId="167" fontId="10" fillId="0" borderId="1" xfId="0" applyNumberFormat="1" applyFont="1" applyFill="1" applyBorder="1" applyAlignment="1">
      <alignment vertical="top" wrapText="1"/>
    </xf>
    <xf numFmtId="167" fontId="2" fillId="0" borderId="1" xfId="0" applyNumberFormat="1" applyFont="1" applyFill="1" applyBorder="1" applyAlignment="1">
      <alignment horizontal="right"/>
    </xf>
    <xf numFmtId="0" fontId="16" fillId="0" borderId="1" xfId="0" applyFont="1" applyFill="1" applyBorder="1"/>
    <xf numFmtId="0" fontId="17" fillId="0" borderId="1" xfId="0" applyFont="1" applyFill="1" applyBorder="1" applyAlignment="1">
      <alignment horizontal="left"/>
    </xf>
    <xf numFmtId="0" fontId="18" fillId="0" borderId="1" xfId="0" applyFont="1" applyFill="1" applyBorder="1" applyAlignment="1">
      <alignment wrapText="1"/>
    </xf>
    <xf numFmtId="0" fontId="2" fillId="0" borderId="1" xfId="2" applyFont="1" applyFill="1" applyBorder="1"/>
    <xf numFmtId="49" fontId="17" fillId="0" borderId="1" xfId="0" applyNumberFormat="1" applyFont="1" applyFill="1" applyBorder="1" applyAlignment="1">
      <alignment horizontal="right"/>
    </xf>
    <xf numFmtId="14" fontId="2" fillId="0" borderId="1" xfId="0" applyNumberFormat="1" applyFont="1" applyFill="1" applyBorder="1" applyAlignment="1">
      <alignment wrapText="1"/>
    </xf>
    <xf numFmtId="0" fontId="20" fillId="0" borderId="1" xfId="0" applyFont="1" applyFill="1" applyBorder="1" applyAlignment="1">
      <alignment wrapText="1"/>
    </xf>
    <xf numFmtId="4" fontId="10" fillId="0" borderId="1" xfId="0" applyNumberFormat="1" applyFont="1" applyFill="1" applyBorder="1" applyAlignment="1">
      <alignment horizontal="right" wrapText="1"/>
    </xf>
    <xf numFmtId="0" fontId="10" fillId="0" borderId="1" xfId="0" applyFont="1" applyFill="1" applyBorder="1" applyAlignment="1">
      <alignment horizontal="left" wrapText="1"/>
    </xf>
    <xf numFmtId="0" fontId="16" fillId="0" borderId="1" xfId="0" applyFont="1" applyFill="1" applyBorder="1" applyAlignment="1">
      <alignment horizontal="right"/>
    </xf>
    <xf numFmtId="167" fontId="2" fillId="0" borderId="1" xfId="0" applyNumberFormat="1" applyFont="1" applyFill="1" applyBorder="1" applyAlignment="1">
      <alignment vertical="top" wrapText="1"/>
    </xf>
    <xf numFmtId="15" fontId="2" fillId="0" borderId="1" xfId="0" applyNumberFormat="1" applyFont="1" applyFill="1" applyBorder="1" applyAlignment="1"/>
    <xf numFmtId="49" fontId="2" fillId="0" borderId="1" xfId="0" applyNumberFormat="1" applyFont="1" applyFill="1" applyBorder="1" applyAlignment="1">
      <alignment horizontal="left" vertical="center" wrapText="1"/>
    </xf>
    <xf numFmtId="0" fontId="17" fillId="0" borderId="1" xfId="0" applyFont="1" applyFill="1" applyBorder="1"/>
    <xf numFmtId="0" fontId="19" fillId="0" borderId="1" xfId="0" applyFont="1" applyFill="1" applyBorder="1"/>
    <xf numFmtId="0" fontId="11" fillId="0" borderId="1" xfId="0" applyFont="1" applyFill="1" applyBorder="1" applyAlignment="1">
      <alignment wrapText="1"/>
    </xf>
    <xf numFmtId="165" fontId="2" fillId="16" borderId="1" xfId="0" applyNumberFormat="1" applyFont="1" applyFill="1" applyBorder="1" applyAlignment="1"/>
    <xf numFmtId="165" fontId="2" fillId="16" borderId="1" xfId="0" applyNumberFormat="1" applyFont="1" applyFill="1" applyBorder="1" applyAlignment="1">
      <alignment horizontal="right"/>
    </xf>
    <xf numFmtId="49" fontId="2" fillId="16" borderId="1" xfId="0" applyNumberFormat="1" applyFont="1" applyFill="1" applyBorder="1" applyAlignment="1">
      <alignment horizontal="right"/>
    </xf>
    <xf numFmtId="0" fontId="2" fillId="16" borderId="1" xfId="0" applyFont="1" applyFill="1" applyBorder="1" applyAlignment="1">
      <alignment wrapText="1"/>
    </xf>
    <xf numFmtId="49" fontId="2" fillId="16" borderId="1" xfId="0" applyNumberFormat="1" applyFont="1" applyFill="1" applyBorder="1" applyAlignment="1">
      <alignment wrapText="1"/>
    </xf>
    <xf numFmtId="49" fontId="2" fillId="16" borderId="1" xfId="0" applyNumberFormat="1" applyFont="1" applyFill="1" applyBorder="1" applyAlignment="1"/>
    <xf numFmtId="49" fontId="2" fillId="16" borderId="1" xfId="0" quotePrefix="1" applyNumberFormat="1" applyFont="1" applyFill="1" applyBorder="1" applyAlignment="1">
      <alignment horizontal="right"/>
    </xf>
    <xf numFmtId="0" fontId="9" fillId="16" borderId="1" xfId="0" applyFont="1" applyFill="1" applyBorder="1" applyAlignment="1">
      <alignment wrapText="1"/>
    </xf>
    <xf numFmtId="0" fontId="2" fillId="16" borderId="1" xfId="0" applyFont="1" applyFill="1" applyBorder="1" applyAlignment="1"/>
    <xf numFmtId="167" fontId="2" fillId="16" borderId="1" xfId="0" applyNumberFormat="1" applyFont="1" applyFill="1" applyBorder="1" applyAlignment="1"/>
    <xf numFmtId="49" fontId="2" fillId="17" borderId="1" xfId="0" applyNumberFormat="1" applyFont="1" applyFill="1" applyBorder="1" applyAlignment="1"/>
    <xf numFmtId="49" fontId="2" fillId="17" borderId="1" xfId="0" applyNumberFormat="1" applyFont="1" applyFill="1" applyBorder="1" applyAlignment="1">
      <alignment horizontal="right"/>
    </xf>
    <xf numFmtId="167" fontId="2" fillId="17" borderId="1" xfId="0" applyNumberFormat="1" applyFont="1" applyFill="1" applyBorder="1" applyAlignment="1"/>
    <xf numFmtId="0" fontId="2" fillId="17" borderId="1" xfId="0" applyFont="1" applyFill="1" applyBorder="1" applyAlignment="1">
      <alignment vertical="top" wrapText="1"/>
    </xf>
    <xf numFmtId="0" fontId="10" fillId="17" borderId="1" xfId="0" applyFont="1" applyFill="1" applyBorder="1" applyAlignment="1">
      <alignment vertical="top" wrapText="1"/>
    </xf>
    <xf numFmtId="167" fontId="10" fillId="17" borderId="1" xfId="0" applyNumberFormat="1" applyFont="1" applyFill="1" applyBorder="1" applyAlignment="1">
      <alignment vertical="top" wrapText="1"/>
    </xf>
    <xf numFmtId="49" fontId="2" fillId="2" borderId="4" xfId="0" applyNumberFormat="1" applyFont="1" applyFill="1" applyBorder="1" applyAlignment="1">
      <alignment horizontal="center"/>
    </xf>
    <xf numFmtId="49" fontId="2" fillId="2" borderId="5" xfId="0" applyNumberFormat="1" applyFont="1" applyFill="1" applyBorder="1" applyAlignment="1">
      <alignment horizontal="center"/>
    </xf>
    <xf numFmtId="49" fontId="2" fillId="2" borderId="6" xfId="0" applyNumberFormat="1" applyFont="1" applyFill="1" applyBorder="1" applyAlignment="1">
      <alignment horizontal="center"/>
    </xf>
    <xf numFmtId="49" fontId="2" fillId="3" borderId="4" xfId="0" applyNumberFormat="1" applyFont="1" applyFill="1" applyBorder="1" applyAlignment="1">
      <alignment horizontal="center"/>
    </xf>
    <xf numFmtId="49" fontId="2" fillId="3" borderId="5" xfId="0" applyNumberFormat="1" applyFont="1" applyFill="1" applyBorder="1" applyAlignment="1">
      <alignment horizontal="center"/>
    </xf>
    <xf numFmtId="49" fontId="2" fillId="3" borderId="6" xfId="0" applyNumberFormat="1" applyFont="1" applyFill="1" applyBorder="1" applyAlignment="1">
      <alignment horizontal="center"/>
    </xf>
    <xf numFmtId="49" fontId="2" fillId="9" borderId="1" xfId="0" applyNumberFormat="1" applyFont="1" applyFill="1" applyBorder="1" applyAlignment="1">
      <alignment horizontal="center" wrapText="1"/>
    </xf>
    <xf numFmtId="0" fontId="2" fillId="11" borderId="1" xfId="0" applyFont="1" applyFill="1" applyBorder="1" applyAlignment="1">
      <alignment horizontal="center"/>
    </xf>
    <xf numFmtId="49" fontId="2" fillId="8" borderId="1" xfId="0" applyNumberFormat="1" applyFont="1" applyFill="1" applyBorder="1" applyAlignment="1">
      <alignment horizontal="center" wrapText="1"/>
    </xf>
    <xf numFmtId="49" fontId="2" fillId="10" borderId="1" xfId="0" applyNumberFormat="1" applyFont="1" applyFill="1" applyBorder="1" applyAlignment="1">
      <alignment horizontal="center" wrapText="1"/>
    </xf>
    <xf numFmtId="49" fontId="2" fillId="7" borderId="1" xfId="0" applyNumberFormat="1" applyFont="1" applyFill="1" applyBorder="1" applyAlignment="1">
      <alignment horizontal="center"/>
    </xf>
  </cellXfs>
  <cellStyles count="4">
    <cellStyle name="Collegamento ipertestuale" xfId="2" builtinId="8"/>
    <cellStyle name="Euro 2" xfId="3"/>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227</xdr:row>
      <xdr:rowOff>0</xdr:rowOff>
    </xdr:from>
    <xdr:ext cx="152400" cy="152400"/>
    <xdr:pic>
      <xdr:nvPicPr>
        <xdr:cNvPr id="2" name="Immagine 1"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227</xdr:row>
      <xdr:rowOff>0</xdr:rowOff>
    </xdr:from>
    <xdr:ext cx="152400" cy="152400"/>
    <xdr:pic>
      <xdr:nvPicPr>
        <xdr:cNvPr id="3" name="Immagine 2"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258</xdr:row>
      <xdr:rowOff>0</xdr:rowOff>
    </xdr:from>
    <xdr:ext cx="152400" cy="152400"/>
    <xdr:pic>
      <xdr:nvPicPr>
        <xdr:cNvPr id="4" name="Immagine 3"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258</xdr:row>
      <xdr:rowOff>0</xdr:rowOff>
    </xdr:from>
    <xdr:ext cx="152400" cy="152400"/>
    <xdr:pic>
      <xdr:nvPicPr>
        <xdr:cNvPr id="5" name="Immagine 4"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284</xdr:row>
      <xdr:rowOff>0</xdr:rowOff>
    </xdr:from>
    <xdr:ext cx="152400" cy="152400"/>
    <xdr:pic>
      <xdr:nvPicPr>
        <xdr:cNvPr id="6" name="Immagine 5"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284</xdr:row>
      <xdr:rowOff>0</xdr:rowOff>
    </xdr:from>
    <xdr:ext cx="152400" cy="152400"/>
    <xdr:pic>
      <xdr:nvPicPr>
        <xdr:cNvPr id="7" name="Immagine 6"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284</xdr:row>
      <xdr:rowOff>0</xdr:rowOff>
    </xdr:from>
    <xdr:ext cx="152400" cy="152400"/>
    <xdr:pic>
      <xdr:nvPicPr>
        <xdr:cNvPr id="8" name="Immagine 7"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284</xdr:row>
      <xdr:rowOff>0</xdr:rowOff>
    </xdr:from>
    <xdr:ext cx="152400" cy="152400"/>
    <xdr:pic>
      <xdr:nvPicPr>
        <xdr:cNvPr id="9" name="Immagine 8"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284</xdr:row>
      <xdr:rowOff>0</xdr:rowOff>
    </xdr:from>
    <xdr:ext cx="152400" cy="152400"/>
    <xdr:pic>
      <xdr:nvPicPr>
        <xdr:cNvPr id="10" name="Immagine 9"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284</xdr:row>
      <xdr:rowOff>0</xdr:rowOff>
    </xdr:from>
    <xdr:ext cx="152400" cy="152400"/>
    <xdr:pic>
      <xdr:nvPicPr>
        <xdr:cNvPr id="11" name="Immagine 10"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284</xdr:row>
      <xdr:rowOff>0</xdr:rowOff>
    </xdr:from>
    <xdr:ext cx="152400" cy="152400"/>
    <xdr:pic>
      <xdr:nvPicPr>
        <xdr:cNvPr id="12" name="Immagine 11"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284</xdr:row>
      <xdr:rowOff>0</xdr:rowOff>
    </xdr:from>
    <xdr:ext cx="152400" cy="152400"/>
    <xdr:pic>
      <xdr:nvPicPr>
        <xdr:cNvPr id="13" name="Immagine 12"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284</xdr:row>
      <xdr:rowOff>0</xdr:rowOff>
    </xdr:from>
    <xdr:ext cx="152400" cy="152400"/>
    <xdr:pic>
      <xdr:nvPicPr>
        <xdr:cNvPr id="14" name="Immagine 13"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284</xdr:row>
      <xdr:rowOff>0</xdr:rowOff>
    </xdr:from>
    <xdr:ext cx="152400" cy="152400"/>
    <xdr:pic>
      <xdr:nvPicPr>
        <xdr:cNvPr id="15" name="Immagine 14"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16" name="Immagine 15"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17" name="Immagine 16"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18" name="Immagine 17"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19" name="Immagine 18"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20" name="Immagine 19"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21" name="Immagine 20"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22" name="Immagine 21"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23" name="Immagine 22"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2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24" name="Immagine 23"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25" name="Immagine 24"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195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26" name="Immagine 25"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27" name="Immagine 26"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28" name="Immagine 27"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29" name="Immagine 28"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86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30" name="Immagine 29"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31" name="Immagine 30"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32" name="Immagine 31"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33" name="Immagine 32"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34" name="Immagine 33"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35" name="Immagine 34"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36" name="Immagine 35"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37" name="Immagine 36"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38" name="Immagine 37"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39" name="Immagine 38"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40" name="Immagine 39"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41" name="Immagine 40"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333</xdr:row>
      <xdr:rowOff>0</xdr:rowOff>
    </xdr:from>
    <xdr:ext cx="152400" cy="152400"/>
    <xdr:pic>
      <xdr:nvPicPr>
        <xdr:cNvPr id="42" name="Immagine 41"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333</xdr:row>
      <xdr:rowOff>0</xdr:rowOff>
    </xdr:from>
    <xdr:ext cx="152400" cy="152400"/>
    <xdr:pic>
      <xdr:nvPicPr>
        <xdr:cNvPr id="43" name="Immagine 42"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44" name="Immagine 43"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45" name="Immagine 44"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46" name="Immagine 45"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7383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47" name="Immagine 46"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7383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48" name="Immagine 47"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49" name="Immagine 48"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50" name="Immagine 49"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51" name="Immagine 50"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8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52" name="Immagine 51"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53" name="Immagine 52"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54" name="Immagine 53"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55" name="Immagine 54"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56" name="Immagine 55"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57" name="Immagine 56"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58" name="Immagine 57"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59" name="Immagine 58"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60" name="Immagine 59"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61" name="Immagine 60"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62" name="Immagine 61"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63" name="Immagine 62"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64" name="Immagine 63"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65" name="Immagine 64"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66" name="Immagine 65"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67" name="Immagine 66"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68" name="Immagine 67"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69" name="Immagine 68"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70" name="Immagine 69"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71" name="Immagine 70"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72" name="Immagine 71"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73" name="Immagine 72"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74" name="Immagine 73"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75" name="Immagine 74"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76" name="Immagine 75"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77" name="Immagine 76"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78" name="Immagine 77"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380</xdr:row>
      <xdr:rowOff>0</xdr:rowOff>
    </xdr:from>
    <xdr:ext cx="152400" cy="152400"/>
    <xdr:pic>
      <xdr:nvPicPr>
        <xdr:cNvPr id="79" name="Immagine 78"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0" name="Immagine 79"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1" name="Immagine 80"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2" name="Immagine 81"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3" name="Immagine 82"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4" name="Immagine 83"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5" name="Immagine 84"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6" name="Immagine 85"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7" name="Immagine 86"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8" name="Immagine 87"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89" name="Immagine 88"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0" name="Immagine 89"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1" name="Immagine 90"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2" name="Immagine 91"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3" name="Immagine 92"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4" name="Immagine 93"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5" name="Immagine 94"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6" name="Immagine 95"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380</xdr:row>
      <xdr:rowOff>0</xdr:rowOff>
    </xdr:from>
    <xdr:ext cx="152400" cy="152400"/>
    <xdr:pic>
      <xdr:nvPicPr>
        <xdr:cNvPr id="97" name="Immagine 96"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98" name="Immagine 97"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99" name="Immagine 98"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00" name="Immagine 99"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01" name="Immagine 100"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02" name="Immagine 101"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03" name="Immagine 102"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04" name="Immagine 103"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05" name="Immagine 104"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06" name="Immagine 105"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07" name="Immagine 106"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08" name="Immagine 107"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09" name="Immagine 108"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10" name="Immagine 109"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11" name="Immagine 110"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12" name="Immagine 111"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13" name="Immagine 112"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14" name="Immagine 113"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15" name="Immagine 114"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16" name="Immagine 115"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17" name="Immagine 116"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18" name="Immagine 117"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19" name="Immagine 118"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20" name="Immagine 119"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21" name="Immagine 120"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22" name="Immagine 121"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23" name="Immagine 122"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24" name="Immagine 123"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25" name="Immagine 124"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26" name="Immagine 125"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27" name="Immagine 126"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28" name="Immagine 127"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29" name="Immagine 128"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0" name="Immagine 129"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31" name="Immagine 130"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2" name="Immagine 131"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344</xdr:row>
      <xdr:rowOff>0</xdr:rowOff>
    </xdr:from>
    <xdr:ext cx="152400" cy="152400"/>
    <xdr:pic>
      <xdr:nvPicPr>
        <xdr:cNvPr id="133" name="Immagine 132"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4" name="Immagine 133"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5" name="Immagine 134"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6" name="Immagine 135"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7" name="Immagine 136"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8" name="Immagine 137"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39" name="Immagine 138"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0" name="Immagine 139"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1" name="Immagine 140"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2" name="Immagine 141"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3" name="Immagine 142"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4" name="Immagine 143"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5" name="Immagine 144"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6" name="Immagine 145"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7" name="Immagine 146"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8" name="Immagine 147"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49" name="Immagine 148"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50" name="Immagine 149"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344</xdr:row>
      <xdr:rowOff>0</xdr:rowOff>
    </xdr:from>
    <xdr:ext cx="152400" cy="152400"/>
    <xdr:pic>
      <xdr:nvPicPr>
        <xdr:cNvPr id="151" name="Immagine 150"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20515" y="3557868"/>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52" name="Immagine 151"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53" name="Immagine 152"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54" name="Immagine 153"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55" name="Immagine 154"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56" name="Immagine 155"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57" name="Immagine 156"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58" name="Immagine 157"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59" name="Immagine 158"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60" name="Immagine 159"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61" name="Immagine 160"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62" name="Immagine 161"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63" name="Immagine 162"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64" name="Immagine 163"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65" name="Immagine 164"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66" name="Immagine 165"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67" name="Immagine 166"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68" name="Immagine 167"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69" name="Immagine 168"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70" name="Immagine 169"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71" name="Immagine 170"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72" name="Immagine 171"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73" name="Immagine 172"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74" name="Immagine 173"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75" name="Immagine 174"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76" name="Immagine 175"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77" name="Immagine 176"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78" name="Immagine 177"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79" name="Immagine 178"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80" name="Immagine 179"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81" name="Immagine 180"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82" name="Immagine 181"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83" name="Immagine 182"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84" name="Immagine 183"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85" name="Immagine 184"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86" name="Immagine 185"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87" name="Immagine 186"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88" name="Immagine 187"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89" name="Immagine 188"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90" name="Immagine 189"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91" name="Immagine 190"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92" name="Immagine 191"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93" name="Immagine 192"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94" name="Immagine 193"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95" name="Immagine 194"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96" name="Immagine 195"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97" name="Immagine 196"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198" name="Immagine 197"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199" name="Immagine 198"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00" name="Immagine 199"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01" name="Immagine 200"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02" name="Immagine 201"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03" name="Immagine 202"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04" name="Immagine 203"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05" name="Immagine 204"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06" name="Immagine 205"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07" name="Immagine 206"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08" name="Immagine 207"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09" name="Immagine 208"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10" name="Immagine 209"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11" name="Immagine 210"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12" name="Immagine 211"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13" name="Immagine 212"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14" name="Immagine 213"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15" name="Immagine 214"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926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16" name="Immagine 215"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17" name="Immagine 216"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18" name="Immagine 217"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19" name="Immagine 218"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20" name="Immagine 219"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21" name="Immagine 220"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22" name="Immagine 221"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23" name="Immagine 222"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24" name="Immagine 223"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25" name="Immagine 224"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26" name="Immagine 225"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27" name="Immagine 226"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28" name="Immagine 227"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29" name="Immagine 228"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83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30" name="Immagine 229"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31" name="Immagine 230"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32" name="Immagine 231"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33" name="Immagine 232"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34" name="Immagine 233"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35" name="Immagine 234"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36" name="Immagine 235"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37" name="Immagine 236"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38" name="Immagine 237"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39" name="Immagine 238"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40" name="Immagine 239"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41" name="Immagine 240"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42" name="Immagine 241"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43" name="Immagine 242"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44" name="Immagine 243"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45" name="Immagine 244"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46" name="Immagine 245"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47" name="Immagine 246"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48" name="Immagine 247"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49" name="Immagine 248"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50" name="Immagine 249"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51" name="Immagine 250"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52" name="Immagine 251"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53" name="Immagine 252"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54" name="Immagine 253"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55" name="Immagine 254"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56" name="Immagine 255"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57" name="Immagine 256"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58" name="Immagine 257"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59" name="Immagine 258"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60" name="Immagine 259"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61" name="Immagine 260"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62" name="Immagine 261"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63" name="Immagine 262"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64" name="Immagine 263"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65" name="Immagine 264"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66" name="Immagine 265"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67" name="Immagine 266"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68" name="Immagine 267"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69" name="Immagine 268"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70" name="Immagine 269"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71" name="Immagine 270"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72" name="Immagine 271"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73" name="Immagine 272"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74" name="Immagine 273"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75" name="Immagine 274"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76" name="Immagine 275"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77" name="Immagine 276"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78" name="Immagine 277"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79" name="Immagine 278"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80" name="Immagine 279"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81" name="Immagine 280"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82" name="Immagine 281"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83" name="Immagine 282"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84" name="Immagine 283"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85" name="Immagine 284"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86" name="Immagine 285"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87" name="Immagine 286"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88" name="Immagine 287"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89" name="Immagine 288"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90" name="Immagine 289"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91" name="Immagine 290"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92" name="Immagine 291"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93" name="Immagine 292"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94" name="Immagine 293"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95" name="Immagine 294"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96" name="Immagine 295"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97" name="Immagine 296"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409</xdr:row>
      <xdr:rowOff>0</xdr:rowOff>
    </xdr:from>
    <xdr:ext cx="152400" cy="152400"/>
    <xdr:pic>
      <xdr:nvPicPr>
        <xdr:cNvPr id="298" name="Immagine 297"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299" name="Immagine 298"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01" name="Immagine 300"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03" name="Immagine 302"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05" name="Immagine 304"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07" name="Immagine 306"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09" name="Immagine 308"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11" name="Immagine 310"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94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409</xdr:row>
      <xdr:rowOff>0</xdr:rowOff>
    </xdr:from>
    <xdr:ext cx="152400" cy="152400"/>
    <xdr:pic>
      <xdr:nvPicPr>
        <xdr:cNvPr id="313" name="Immagine 312"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208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370</xdr:row>
      <xdr:rowOff>0</xdr:rowOff>
    </xdr:from>
    <xdr:ext cx="152400" cy="152400"/>
    <xdr:pic>
      <xdr:nvPicPr>
        <xdr:cNvPr id="308" name="Immagine 307"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393</xdr:row>
      <xdr:rowOff>0</xdr:rowOff>
    </xdr:from>
    <xdr:ext cx="152400" cy="152400"/>
    <xdr:pic>
      <xdr:nvPicPr>
        <xdr:cNvPr id="310" name="Immagine 309"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414</xdr:row>
      <xdr:rowOff>0</xdr:rowOff>
    </xdr:from>
    <xdr:ext cx="152400" cy="152400"/>
    <xdr:pic>
      <xdr:nvPicPr>
        <xdr:cNvPr id="312" name="Immagine 311"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414</xdr:row>
      <xdr:rowOff>0</xdr:rowOff>
    </xdr:from>
    <xdr:ext cx="152400" cy="152400"/>
    <xdr:pic>
      <xdr:nvPicPr>
        <xdr:cNvPr id="314" name="Immagine 313" descr="http://demaco.consob/ArchiflowWeb/images/indicator.gif">
          <a:extLst>
            <a:ext uri="{FF2B5EF4-FFF2-40B4-BE49-F238E27FC236}">
              <a16:creationId xmlns:a16="http://schemas.microsoft.com/office/drawing/2014/main" id="{00000000-0008-0000-0000-00003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414</xdr:row>
      <xdr:rowOff>0</xdr:rowOff>
    </xdr:from>
    <xdr:ext cx="152400" cy="152400"/>
    <xdr:pic>
      <xdr:nvPicPr>
        <xdr:cNvPr id="315" name="Immagine 314" descr="http://demaco.consob/ArchiflowWeb/images/indicator.gif">
          <a:extLst>
            <a:ext uri="{FF2B5EF4-FFF2-40B4-BE49-F238E27FC236}">
              <a16:creationId xmlns:a16="http://schemas.microsoft.com/office/drawing/2014/main" id="{00000000-0008-0000-0000-00003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414</xdr:row>
      <xdr:rowOff>0</xdr:rowOff>
    </xdr:from>
    <xdr:ext cx="152400" cy="152400"/>
    <xdr:pic>
      <xdr:nvPicPr>
        <xdr:cNvPr id="316" name="Immagine 315" descr="http://demaco.consob/ArchiflowWeb/images/indicator.gif">
          <a:extLst>
            <a:ext uri="{FF2B5EF4-FFF2-40B4-BE49-F238E27FC236}">
              <a16:creationId xmlns:a16="http://schemas.microsoft.com/office/drawing/2014/main" id="{00000000-0008-0000-0000-00003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414</xdr:row>
      <xdr:rowOff>0</xdr:rowOff>
    </xdr:from>
    <xdr:ext cx="152400" cy="152400"/>
    <xdr:pic>
      <xdr:nvPicPr>
        <xdr:cNvPr id="317" name="Immagine 316" descr="http://demaco.consob/ArchiflowWeb/images/indicator.gif">
          <a:extLst>
            <a:ext uri="{FF2B5EF4-FFF2-40B4-BE49-F238E27FC236}">
              <a16:creationId xmlns:a16="http://schemas.microsoft.com/office/drawing/2014/main" id="{00000000-0008-0000-0000-00003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79743" y="5084669"/>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18" name="Immagine 317" descr="http://demaco.consob/ArchiflowWeb/images/indicator.gif">
          <a:extLst>
            <a:ext uri="{FF2B5EF4-FFF2-40B4-BE49-F238E27FC236}">
              <a16:creationId xmlns:a16="http://schemas.microsoft.com/office/drawing/2014/main" id="{00000000-0008-0000-0000-00003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19" name="Immagine 318" descr="http://demaco.consob/ArchiflowWeb/images/indicator.gif">
          <a:extLst>
            <a:ext uri="{FF2B5EF4-FFF2-40B4-BE49-F238E27FC236}">
              <a16:creationId xmlns:a16="http://schemas.microsoft.com/office/drawing/2014/main" id="{00000000-0008-0000-0000-00003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20" name="Immagine 319" descr="http://demaco.consob/ArchiflowWeb/images/indicator.gif">
          <a:extLst>
            <a:ext uri="{FF2B5EF4-FFF2-40B4-BE49-F238E27FC236}">
              <a16:creationId xmlns:a16="http://schemas.microsoft.com/office/drawing/2014/main" id="{00000000-0008-0000-0000-00004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21" name="Immagine 320" descr="http://demaco.consob/ArchiflowWeb/images/indicator.gif">
          <a:extLst>
            <a:ext uri="{FF2B5EF4-FFF2-40B4-BE49-F238E27FC236}">
              <a16:creationId xmlns:a16="http://schemas.microsoft.com/office/drawing/2014/main" id="{00000000-0008-0000-0000-00004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22" name="Immagine 321" descr="http://demaco.consob/ArchiflowWeb/images/indicator.gif">
          <a:extLst>
            <a:ext uri="{FF2B5EF4-FFF2-40B4-BE49-F238E27FC236}">
              <a16:creationId xmlns:a16="http://schemas.microsoft.com/office/drawing/2014/main" id="{00000000-0008-0000-0000-00004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23" name="Immagine 322" descr="http://demaco.consob/ArchiflowWeb/images/indicator.gif">
          <a:extLst>
            <a:ext uri="{FF2B5EF4-FFF2-40B4-BE49-F238E27FC236}">
              <a16:creationId xmlns:a16="http://schemas.microsoft.com/office/drawing/2014/main" id="{00000000-0008-0000-0000-00004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24" name="Immagine 323" descr="http://demaco.consob/ArchiflowWeb/images/indicator.gif">
          <a:extLst>
            <a:ext uri="{FF2B5EF4-FFF2-40B4-BE49-F238E27FC236}">
              <a16:creationId xmlns:a16="http://schemas.microsoft.com/office/drawing/2014/main" id="{00000000-0008-0000-0000-00004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25" name="Immagine 324" descr="http://demaco.consob/ArchiflowWeb/images/indicator.gif">
          <a:extLst>
            <a:ext uri="{FF2B5EF4-FFF2-40B4-BE49-F238E27FC236}">
              <a16:creationId xmlns:a16="http://schemas.microsoft.com/office/drawing/2014/main" id="{00000000-0008-0000-0000-00004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26" name="Immagine 325" descr="http://demaco.consob/ArchiflowWeb/images/indicator.gif">
          <a:extLst>
            <a:ext uri="{FF2B5EF4-FFF2-40B4-BE49-F238E27FC236}">
              <a16:creationId xmlns:a16="http://schemas.microsoft.com/office/drawing/2014/main" id="{00000000-0008-0000-0000-00004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27" name="Immagine 326" descr="http://demaco.consob/ArchiflowWeb/images/indicator.gif">
          <a:extLst>
            <a:ext uri="{FF2B5EF4-FFF2-40B4-BE49-F238E27FC236}">
              <a16:creationId xmlns:a16="http://schemas.microsoft.com/office/drawing/2014/main" id="{00000000-0008-0000-0000-00004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28" name="Immagine 327" descr="http://demaco.consob/ArchiflowWeb/images/indicator.gif">
          <a:extLst>
            <a:ext uri="{FF2B5EF4-FFF2-40B4-BE49-F238E27FC236}">
              <a16:creationId xmlns:a16="http://schemas.microsoft.com/office/drawing/2014/main" id="{00000000-0008-0000-0000-00004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29" name="Immagine 328" descr="http://demaco.consob/ArchiflowWeb/images/indicator.gif">
          <a:extLst>
            <a:ext uri="{FF2B5EF4-FFF2-40B4-BE49-F238E27FC236}">
              <a16:creationId xmlns:a16="http://schemas.microsoft.com/office/drawing/2014/main" id="{00000000-0008-0000-0000-00004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30" name="Immagine 329" descr="http://demaco.consob/ArchiflowWeb/images/indicator.gif">
          <a:extLst>
            <a:ext uri="{FF2B5EF4-FFF2-40B4-BE49-F238E27FC236}">
              <a16:creationId xmlns:a16="http://schemas.microsoft.com/office/drawing/2014/main" id="{00000000-0008-0000-0000-00004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31" name="Immagine 330" descr="http://demaco.consob/ArchiflowWeb/images/indicator.gif">
          <a:extLst>
            <a:ext uri="{FF2B5EF4-FFF2-40B4-BE49-F238E27FC236}">
              <a16:creationId xmlns:a16="http://schemas.microsoft.com/office/drawing/2014/main" id="{00000000-0008-0000-0000-00004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32" name="Immagine 331" descr="http://demaco.consob/ArchiflowWeb/images/indicator.gif">
          <a:extLst>
            <a:ext uri="{FF2B5EF4-FFF2-40B4-BE49-F238E27FC236}">
              <a16:creationId xmlns:a16="http://schemas.microsoft.com/office/drawing/2014/main" id="{00000000-0008-0000-0000-00004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33" name="Immagine 332" descr="http://demaco.consob/ArchiflowWeb/images/indicator.gif">
          <a:extLst>
            <a:ext uri="{FF2B5EF4-FFF2-40B4-BE49-F238E27FC236}">
              <a16:creationId xmlns:a16="http://schemas.microsoft.com/office/drawing/2014/main" id="{00000000-0008-0000-0000-00004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34" name="Immagine 333" descr="http://demaco.consob/ArchiflowWeb/images/indicator.gif">
          <a:extLst>
            <a:ext uri="{FF2B5EF4-FFF2-40B4-BE49-F238E27FC236}">
              <a16:creationId xmlns:a16="http://schemas.microsoft.com/office/drawing/2014/main" id="{00000000-0008-0000-0000-00004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35" name="Immagine 334" descr="http://demaco.consob/ArchiflowWeb/images/indicator.gif">
          <a:extLst>
            <a:ext uri="{FF2B5EF4-FFF2-40B4-BE49-F238E27FC236}">
              <a16:creationId xmlns:a16="http://schemas.microsoft.com/office/drawing/2014/main" id="{00000000-0008-0000-0000-00004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36" name="Immagine 335" descr="http://demaco.consob/ArchiflowWeb/images/indicator.gif">
          <a:extLst>
            <a:ext uri="{FF2B5EF4-FFF2-40B4-BE49-F238E27FC236}">
              <a16:creationId xmlns:a16="http://schemas.microsoft.com/office/drawing/2014/main" id="{00000000-0008-0000-0000-00005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37" name="Immagine 336" descr="http://demaco.consob/ArchiflowWeb/images/indicator.gif">
          <a:extLst>
            <a:ext uri="{FF2B5EF4-FFF2-40B4-BE49-F238E27FC236}">
              <a16:creationId xmlns:a16="http://schemas.microsoft.com/office/drawing/2014/main" id="{00000000-0008-0000-0000-00005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38" name="Immagine 337" descr="http://demaco.consob/ArchiflowWeb/images/indicator.gif">
          <a:extLst>
            <a:ext uri="{FF2B5EF4-FFF2-40B4-BE49-F238E27FC236}">
              <a16:creationId xmlns:a16="http://schemas.microsoft.com/office/drawing/2014/main" id="{00000000-0008-0000-0000-00005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39" name="Immagine 338" descr="http://demaco.consob/ArchiflowWeb/images/indicator.gif">
          <a:extLst>
            <a:ext uri="{FF2B5EF4-FFF2-40B4-BE49-F238E27FC236}">
              <a16:creationId xmlns:a16="http://schemas.microsoft.com/office/drawing/2014/main" id="{00000000-0008-0000-0000-00005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40" name="Immagine 339" descr="http://demaco.consob/ArchiflowWeb/images/indicator.gif">
          <a:extLst>
            <a:ext uri="{FF2B5EF4-FFF2-40B4-BE49-F238E27FC236}">
              <a16:creationId xmlns:a16="http://schemas.microsoft.com/office/drawing/2014/main" id="{00000000-0008-0000-0000-00005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41" name="Immagine 340" descr="http://demaco.consob/ArchiflowWeb/images/indicator.gif">
          <a:extLst>
            <a:ext uri="{FF2B5EF4-FFF2-40B4-BE49-F238E27FC236}">
              <a16:creationId xmlns:a16="http://schemas.microsoft.com/office/drawing/2014/main" id="{00000000-0008-0000-0000-00005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42" name="Immagine 341" descr="http://demaco.consob/ArchiflowWeb/images/indicator.gif">
          <a:extLst>
            <a:ext uri="{FF2B5EF4-FFF2-40B4-BE49-F238E27FC236}">
              <a16:creationId xmlns:a16="http://schemas.microsoft.com/office/drawing/2014/main" id="{00000000-0008-0000-0000-00005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43" name="Immagine 342" descr="http://demaco.consob/ArchiflowWeb/images/indicator.gif">
          <a:extLst>
            <a:ext uri="{FF2B5EF4-FFF2-40B4-BE49-F238E27FC236}">
              <a16:creationId xmlns:a16="http://schemas.microsoft.com/office/drawing/2014/main" id="{00000000-0008-0000-0000-00005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44" name="Immagine 343" descr="http://demaco.consob/ArchiflowWeb/images/indicator.gif">
          <a:extLst>
            <a:ext uri="{FF2B5EF4-FFF2-40B4-BE49-F238E27FC236}">
              <a16:creationId xmlns:a16="http://schemas.microsoft.com/office/drawing/2014/main" id="{00000000-0008-0000-0000-00005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45" name="Immagine 344" descr="http://demaco.consob/ArchiflowWeb/images/indicator.gif">
          <a:extLst>
            <a:ext uri="{FF2B5EF4-FFF2-40B4-BE49-F238E27FC236}">
              <a16:creationId xmlns:a16="http://schemas.microsoft.com/office/drawing/2014/main" id="{00000000-0008-0000-0000-00005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46" name="Immagine 345" descr="http://demaco.consob/ArchiflowWeb/images/indicator.gif">
          <a:extLst>
            <a:ext uri="{FF2B5EF4-FFF2-40B4-BE49-F238E27FC236}">
              <a16:creationId xmlns:a16="http://schemas.microsoft.com/office/drawing/2014/main" id="{00000000-0008-0000-0000-00005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47" name="Immagine 346" descr="http://demaco.consob/ArchiflowWeb/images/indicator.gif">
          <a:extLst>
            <a:ext uri="{FF2B5EF4-FFF2-40B4-BE49-F238E27FC236}">
              <a16:creationId xmlns:a16="http://schemas.microsoft.com/office/drawing/2014/main" id="{00000000-0008-0000-0000-00005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48" name="Immagine 347" descr="http://demaco.consob/ArchiflowWeb/images/indicator.gif">
          <a:extLst>
            <a:ext uri="{FF2B5EF4-FFF2-40B4-BE49-F238E27FC236}">
              <a16:creationId xmlns:a16="http://schemas.microsoft.com/office/drawing/2014/main" id="{00000000-0008-0000-0000-00005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49" name="Immagine 348" descr="http://demaco.consob/ArchiflowWeb/images/indicator.gif">
          <a:extLst>
            <a:ext uri="{FF2B5EF4-FFF2-40B4-BE49-F238E27FC236}">
              <a16:creationId xmlns:a16="http://schemas.microsoft.com/office/drawing/2014/main" id="{00000000-0008-0000-0000-00005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50" name="Immagine 349" descr="http://demaco.consob/ArchiflowWeb/images/indicator.gif">
          <a:extLst>
            <a:ext uri="{FF2B5EF4-FFF2-40B4-BE49-F238E27FC236}">
              <a16:creationId xmlns:a16="http://schemas.microsoft.com/office/drawing/2014/main" id="{00000000-0008-0000-0000-00005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51" name="Immagine 350" descr="http://demaco.consob/ArchiflowWeb/images/indicator.gif">
          <a:extLst>
            <a:ext uri="{FF2B5EF4-FFF2-40B4-BE49-F238E27FC236}">
              <a16:creationId xmlns:a16="http://schemas.microsoft.com/office/drawing/2014/main" id="{00000000-0008-0000-0000-00005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52" name="Immagine 351" descr="http://demaco.consob/ArchiflowWeb/images/indicator.gif">
          <a:extLst>
            <a:ext uri="{FF2B5EF4-FFF2-40B4-BE49-F238E27FC236}">
              <a16:creationId xmlns:a16="http://schemas.microsoft.com/office/drawing/2014/main" id="{00000000-0008-0000-0000-00006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53" name="Immagine 352" descr="http://demaco.consob/ArchiflowWeb/images/indicator.gif">
          <a:extLst>
            <a:ext uri="{FF2B5EF4-FFF2-40B4-BE49-F238E27FC236}">
              <a16:creationId xmlns:a16="http://schemas.microsoft.com/office/drawing/2014/main" id="{00000000-0008-0000-0000-00006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54" name="Immagine 353" descr="http://demaco.consob/ArchiflowWeb/images/indicator.gif">
          <a:extLst>
            <a:ext uri="{FF2B5EF4-FFF2-40B4-BE49-F238E27FC236}">
              <a16:creationId xmlns:a16="http://schemas.microsoft.com/office/drawing/2014/main" id="{00000000-0008-0000-0000-00006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55" name="Immagine 354" descr="http://demaco.consob/ArchiflowWeb/images/indicator.gif">
          <a:extLst>
            <a:ext uri="{FF2B5EF4-FFF2-40B4-BE49-F238E27FC236}">
              <a16:creationId xmlns:a16="http://schemas.microsoft.com/office/drawing/2014/main" id="{00000000-0008-0000-0000-00006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56" name="Immagine 355" descr="http://demaco.consob/ArchiflowWeb/images/indicator.gif">
          <a:extLst>
            <a:ext uri="{FF2B5EF4-FFF2-40B4-BE49-F238E27FC236}">
              <a16:creationId xmlns:a16="http://schemas.microsoft.com/office/drawing/2014/main" id="{00000000-0008-0000-0000-00006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57" name="Immagine 356" descr="http://demaco.consob/ArchiflowWeb/images/indicator.gif">
          <a:extLst>
            <a:ext uri="{FF2B5EF4-FFF2-40B4-BE49-F238E27FC236}">
              <a16:creationId xmlns:a16="http://schemas.microsoft.com/office/drawing/2014/main" id="{00000000-0008-0000-0000-00006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58" name="Immagine 357" descr="http://demaco.consob/ArchiflowWeb/images/indicator.gif">
          <a:extLst>
            <a:ext uri="{FF2B5EF4-FFF2-40B4-BE49-F238E27FC236}">
              <a16:creationId xmlns:a16="http://schemas.microsoft.com/office/drawing/2014/main" id="{00000000-0008-0000-0000-00006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59" name="Immagine 358" descr="http://demaco.consob/ArchiflowWeb/images/indicator.gif">
          <a:extLst>
            <a:ext uri="{FF2B5EF4-FFF2-40B4-BE49-F238E27FC236}">
              <a16:creationId xmlns:a16="http://schemas.microsoft.com/office/drawing/2014/main" id="{00000000-0008-0000-0000-00006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60" name="Immagine 359" descr="http://demaco.consob/ArchiflowWeb/images/indicator.gif">
          <a:extLst>
            <a:ext uri="{FF2B5EF4-FFF2-40B4-BE49-F238E27FC236}">
              <a16:creationId xmlns:a16="http://schemas.microsoft.com/office/drawing/2014/main" id="{00000000-0008-0000-0000-00006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61" name="Immagine 360" descr="http://demaco.consob/ArchiflowWeb/images/indicator.gif">
          <a:extLst>
            <a:ext uri="{FF2B5EF4-FFF2-40B4-BE49-F238E27FC236}">
              <a16:creationId xmlns:a16="http://schemas.microsoft.com/office/drawing/2014/main" id="{00000000-0008-0000-0000-00006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62" name="Immagine 361" descr="http://demaco.consob/ArchiflowWeb/images/indicator.gif">
          <a:extLst>
            <a:ext uri="{FF2B5EF4-FFF2-40B4-BE49-F238E27FC236}">
              <a16:creationId xmlns:a16="http://schemas.microsoft.com/office/drawing/2014/main" id="{00000000-0008-0000-0000-00006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63" name="Immagine 362" descr="http://demaco.consob/ArchiflowWeb/images/indicator.gif">
          <a:extLst>
            <a:ext uri="{FF2B5EF4-FFF2-40B4-BE49-F238E27FC236}">
              <a16:creationId xmlns:a16="http://schemas.microsoft.com/office/drawing/2014/main" id="{00000000-0008-0000-0000-00006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64" name="Immagine 363" descr="http://demaco.consob/ArchiflowWeb/images/indicator.gif">
          <a:extLst>
            <a:ext uri="{FF2B5EF4-FFF2-40B4-BE49-F238E27FC236}">
              <a16:creationId xmlns:a16="http://schemas.microsoft.com/office/drawing/2014/main" id="{00000000-0008-0000-0000-00006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65" name="Immagine 364" descr="http://demaco.consob/ArchiflowWeb/images/indicator.gif">
          <a:extLst>
            <a:ext uri="{FF2B5EF4-FFF2-40B4-BE49-F238E27FC236}">
              <a16:creationId xmlns:a16="http://schemas.microsoft.com/office/drawing/2014/main" id="{00000000-0008-0000-0000-00006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66" name="Immagine 365" descr="http://demaco.consob/ArchiflowWeb/images/indicator.gif">
          <a:extLst>
            <a:ext uri="{FF2B5EF4-FFF2-40B4-BE49-F238E27FC236}">
              <a16:creationId xmlns:a16="http://schemas.microsoft.com/office/drawing/2014/main" id="{00000000-0008-0000-0000-00006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67" name="Immagine 366" descr="http://demaco.consob/ArchiflowWeb/images/indicator.gif">
          <a:extLst>
            <a:ext uri="{FF2B5EF4-FFF2-40B4-BE49-F238E27FC236}">
              <a16:creationId xmlns:a16="http://schemas.microsoft.com/office/drawing/2014/main" id="{00000000-0008-0000-0000-00006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68" name="Immagine 367" descr="http://demaco.consob/ArchiflowWeb/images/indicator.gif">
          <a:extLst>
            <a:ext uri="{FF2B5EF4-FFF2-40B4-BE49-F238E27FC236}">
              <a16:creationId xmlns:a16="http://schemas.microsoft.com/office/drawing/2014/main" id="{00000000-0008-0000-0000-00007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69" name="Immagine 368" descr="http://demaco.consob/ArchiflowWeb/images/indicator.gif">
          <a:extLst>
            <a:ext uri="{FF2B5EF4-FFF2-40B4-BE49-F238E27FC236}">
              <a16:creationId xmlns:a16="http://schemas.microsoft.com/office/drawing/2014/main" id="{00000000-0008-0000-0000-00007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70" name="Immagine 369" descr="http://demaco.consob/ArchiflowWeb/images/indicator.gif">
          <a:extLst>
            <a:ext uri="{FF2B5EF4-FFF2-40B4-BE49-F238E27FC236}">
              <a16:creationId xmlns:a16="http://schemas.microsoft.com/office/drawing/2014/main" id="{00000000-0008-0000-0000-00007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71" name="Immagine 370" descr="http://demaco.consob/ArchiflowWeb/images/indicator.gif">
          <a:extLst>
            <a:ext uri="{FF2B5EF4-FFF2-40B4-BE49-F238E27FC236}">
              <a16:creationId xmlns:a16="http://schemas.microsoft.com/office/drawing/2014/main" id="{00000000-0008-0000-0000-00007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72" name="Immagine 371" descr="http://demaco.consob/ArchiflowWeb/images/indicator.gif">
          <a:extLst>
            <a:ext uri="{FF2B5EF4-FFF2-40B4-BE49-F238E27FC236}">
              <a16:creationId xmlns:a16="http://schemas.microsoft.com/office/drawing/2014/main" id="{00000000-0008-0000-0000-00007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73" name="Immagine 372" descr="http://demaco.consob/ArchiflowWeb/images/indicator.gif">
          <a:extLst>
            <a:ext uri="{FF2B5EF4-FFF2-40B4-BE49-F238E27FC236}">
              <a16:creationId xmlns:a16="http://schemas.microsoft.com/office/drawing/2014/main" id="{00000000-0008-0000-0000-00007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74" name="Immagine 373" descr="http://demaco.consob/ArchiflowWeb/images/indicator.gif">
          <a:extLst>
            <a:ext uri="{FF2B5EF4-FFF2-40B4-BE49-F238E27FC236}">
              <a16:creationId xmlns:a16="http://schemas.microsoft.com/office/drawing/2014/main" id="{00000000-0008-0000-0000-00007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75" name="Immagine 374" descr="http://demaco.consob/ArchiflowWeb/images/indicator.gif">
          <a:extLst>
            <a:ext uri="{FF2B5EF4-FFF2-40B4-BE49-F238E27FC236}">
              <a16:creationId xmlns:a16="http://schemas.microsoft.com/office/drawing/2014/main" id="{00000000-0008-0000-0000-00007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76" name="Immagine 375" descr="http://demaco.consob/ArchiflowWeb/images/indicator.gif">
          <a:extLst>
            <a:ext uri="{FF2B5EF4-FFF2-40B4-BE49-F238E27FC236}">
              <a16:creationId xmlns:a16="http://schemas.microsoft.com/office/drawing/2014/main" id="{00000000-0008-0000-0000-00007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77" name="Immagine 376" descr="http://demaco.consob/ArchiflowWeb/images/indicator.gif">
          <a:extLst>
            <a:ext uri="{FF2B5EF4-FFF2-40B4-BE49-F238E27FC236}">
              <a16:creationId xmlns:a16="http://schemas.microsoft.com/office/drawing/2014/main" id="{00000000-0008-0000-0000-00007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78" name="Immagine 377" descr="http://demaco.consob/ArchiflowWeb/images/indicator.gif">
          <a:extLst>
            <a:ext uri="{FF2B5EF4-FFF2-40B4-BE49-F238E27FC236}">
              <a16:creationId xmlns:a16="http://schemas.microsoft.com/office/drawing/2014/main" id="{00000000-0008-0000-0000-00007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79" name="Immagine 378" descr="http://demaco.consob/ArchiflowWeb/images/indicator.gif">
          <a:extLst>
            <a:ext uri="{FF2B5EF4-FFF2-40B4-BE49-F238E27FC236}">
              <a16:creationId xmlns:a16="http://schemas.microsoft.com/office/drawing/2014/main" id="{00000000-0008-0000-0000-00007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80" name="Immagine 379" descr="http://demaco.consob/ArchiflowWeb/images/indicator.gif">
          <a:extLst>
            <a:ext uri="{FF2B5EF4-FFF2-40B4-BE49-F238E27FC236}">
              <a16:creationId xmlns:a16="http://schemas.microsoft.com/office/drawing/2014/main" id="{00000000-0008-0000-0000-00007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81" name="Immagine 380" descr="http://demaco.consob/ArchiflowWeb/images/indicator.gif">
          <a:extLst>
            <a:ext uri="{FF2B5EF4-FFF2-40B4-BE49-F238E27FC236}">
              <a16:creationId xmlns:a16="http://schemas.microsoft.com/office/drawing/2014/main" id="{00000000-0008-0000-0000-00007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82" name="Immagine 381" descr="http://demaco.consob/ArchiflowWeb/images/indicator.gif">
          <a:extLst>
            <a:ext uri="{FF2B5EF4-FFF2-40B4-BE49-F238E27FC236}">
              <a16:creationId xmlns:a16="http://schemas.microsoft.com/office/drawing/2014/main" id="{00000000-0008-0000-0000-00007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83" name="Immagine 382" descr="http://demaco.consob/ArchiflowWeb/images/indicator.gif">
          <a:extLst>
            <a:ext uri="{FF2B5EF4-FFF2-40B4-BE49-F238E27FC236}">
              <a16:creationId xmlns:a16="http://schemas.microsoft.com/office/drawing/2014/main" id="{00000000-0008-0000-0000-00007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84" name="Immagine 383" descr="http://demaco.consob/ArchiflowWeb/images/indicator.gif">
          <a:extLst>
            <a:ext uri="{FF2B5EF4-FFF2-40B4-BE49-F238E27FC236}">
              <a16:creationId xmlns:a16="http://schemas.microsoft.com/office/drawing/2014/main" id="{00000000-0008-0000-0000-00008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85" name="Immagine 384" descr="http://demaco.consob/ArchiflowWeb/images/indicator.gif">
          <a:extLst>
            <a:ext uri="{FF2B5EF4-FFF2-40B4-BE49-F238E27FC236}">
              <a16:creationId xmlns:a16="http://schemas.microsoft.com/office/drawing/2014/main" id="{00000000-0008-0000-0000-00008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86" name="Immagine 385" descr="http://demaco.consob/ArchiflowWeb/images/indicator.gif">
          <a:extLst>
            <a:ext uri="{FF2B5EF4-FFF2-40B4-BE49-F238E27FC236}">
              <a16:creationId xmlns:a16="http://schemas.microsoft.com/office/drawing/2014/main" id="{00000000-0008-0000-0000-00008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87" name="Immagine 386" descr="http://demaco.consob/ArchiflowWeb/images/indicator.gif">
          <a:extLst>
            <a:ext uri="{FF2B5EF4-FFF2-40B4-BE49-F238E27FC236}">
              <a16:creationId xmlns:a16="http://schemas.microsoft.com/office/drawing/2014/main" id="{00000000-0008-0000-0000-00008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88" name="Immagine 387" descr="http://demaco.consob/ArchiflowWeb/images/indicator.gif">
          <a:extLst>
            <a:ext uri="{FF2B5EF4-FFF2-40B4-BE49-F238E27FC236}">
              <a16:creationId xmlns:a16="http://schemas.microsoft.com/office/drawing/2014/main" id="{00000000-0008-0000-0000-00008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89" name="Immagine 388" descr="http://demaco.consob/ArchiflowWeb/images/indicator.gif">
          <a:extLst>
            <a:ext uri="{FF2B5EF4-FFF2-40B4-BE49-F238E27FC236}">
              <a16:creationId xmlns:a16="http://schemas.microsoft.com/office/drawing/2014/main" id="{00000000-0008-0000-0000-00008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0" name="Immagine 389" descr="http://demaco.consob/ArchiflowWeb/images/indicator.gif">
          <a:extLst>
            <a:ext uri="{FF2B5EF4-FFF2-40B4-BE49-F238E27FC236}">
              <a16:creationId xmlns:a16="http://schemas.microsoft.com/office/drawing/2014/main" id="{00000000-0008-0000-0000-00008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91" name="Immagine 390" descr="http://demaco.consob/ArchiflowWeb/images/indicator.gif">
          <a:extLst>
            <a:ext uri="{FF2B5EF4-FFF2-40B4-BE49-F238E27FC236}">
              <a16:creationId xmlns:a16="http://schemas.microsoft.com/office/drawing/2014/main" id="{00000000-0008-0000-0000-00008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2" name="Immagine 391" descr="http://demaco.consob/ArchiflowWeb/images/indicator.gif">
          <a:extLst>
            <a:ext uri="{FF2B5EF4-FFF2-40B4-BE49-F238E27FC236}">
              <a16:creationId xmlns:a16="http://schemas.microsoft.com/office/drawing/2014/main" id="{00000000-0008-0000-0000-00008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93" name="Immagine 392" descr="http://demaco.consob/ArchiflowWeb/images/indicator.gif">
          <a:extLst>
            <a:ext uri="{FF2B5EF4-FFF2-40B4-BE49-F238E27FC236}">
              <a16:creationId xmlns:a16="http://schemas.microsoft.com/office/drawing/2014/main" id="{00000000-0008-0000-0000-00008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4" name="Immagine 393" descr="http://demaco.consob/ArchiflowWeb/images/indicator.gif">
          <a:extLst>
            <a:ext uri="{FF2B5EF4-FFF2-40B4-BE49-F238E27FC236}">
              <a16:creationId xmlns:a16="http://schemas.microsoft.com/office/drawing/2014/main" id="{00000000-0008-0000-0000-00008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395" name="Immagine 394" descr="http://demaco.consob/ArchiflowWeb/images/indicator.gif">
          <a:extLst>
            <a:ext uri="{FF2B5EF4-FFF2-40B4-BE49-F238E27FC236}">
              <a16:creationId xmlns:a16="http://schemas.microsoft.com/office/drawing/2014/main" id="{00000000-0008-0000-0000-00008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6" name="Immagine 395" descr="http://demaco.consob/ArchiflowWeb/images/indicator.gif">
          <a:extLst>
            <a:ext uri="{FF2B5EF4-FFF2-40B4-BE49-F238E27FC236}">
              <a16:creationId xmlns:a16="http://schemas.microsoft.com/office/drawing/2014/main" id="{00000000-0008-0000-0000-00008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7" name="Immagine 396" descr="http://demaco.consob/ArchiflowWeb/images/indicator.gif">
          <a:extLst>
            <a:ext uri="{FF2B5EF4-FFF2-40B4-BE49-F238E27FC236}">
              <a16:creationId xmlns:a16="http://schemas.microsoft.com/office/drawing/2014/main" id="{00000000-0008-0000-0000-00008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8" name="Immagine 397" descr="http://demaco.consob/ArchiflowWeb/images/indicator.gif">
          <a:extLst>
            <a:ext uri="{FF2B5EF4-FFF2-40B4-BE49-F238E27FC236}">
              <a16:creationId xmlns:a16="http://schemas.microsoft.com/office/drawing/2014/main" id="{00000000-0008-0000-0000-00008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399" name="Immagine 398" descr="http://demaco.consob/ArchiflowWeb/images/indicator.gif">
          <a:extLst>
            <a:ext uri="{FF2B5EF4-FFF2-40B4-BE49-F238E27FC236}">
              <a16:creationId xmlns:a16="http://schemas.microsoft.com/office/drawing/2014/main" id="{00000000-0008-0000-0000-00008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0" name="Immagine 399" descr="http://demaco.consob/ArchiflowWeb/images/indicator.gif">
          <a:extLst>
            <a:ext uri="{FF2B5EF4-FFF2-40B4-BE49-F238E27FC236}">
              <a16:creationId xmlns:a16="http://schemas.microsoft.com/office/drawing/2014/main" id="{00000000-0008-0000-0000-00009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1" name="Immagine 400" descr="http://demaco.consob/ArchiflowWeb/images/indicator.gif">
          <a:extLst>
            <a:ext uri="{FF2B5EF4-FFF2-40B4-BE49-F238E27FC236}">
              <a16:creationId xmlns:a16="http://schemas.microsoft.com/office/drawing/2014/main" id="{00000000-0008-0000-0000-00009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2" name="Immagine 401" descr="http://demaco.consob/ArchiflowWeb/images/indicator.gif">
          <a:extLst>
            <a:ext uri="{FF2B5EF4-FFF2-40B4-BE49-F238E27FC236}">
              <a16:creationId xmlns:a16="http://schemas.microsoft.com/office/drawing/2014/main" id="{00000000-0008-0000-0000-00009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3" name="Immagine 402" descr="http://demaco.consob/ArchiflowWeb/images/indicator.gif">
          <a:extLst>
            <a:ext uri="{FF2B5EF4-FFF2-40B4-BE49-F238E27FC236}">
              <a16:creationId xmlns:a16="http://schemas.microsoft.com/office/drawing/2014/main" id="{00000000-0008-0000-0000-00009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4" name="Immagine 403" descr="http://demaco.consob/ArchiflowWeb/images/indicator.gif">
          <a:extLst>
            <a:ext uri="{FF2B5EF4-FFF2-40B4-BE49-F238E27FC236}">
              <a16:creationId xmlns:a16="http://schemas.microsoft.com/office/drawing/2014/main" id="{00000000-0008-0000-0000-00009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5" name="Immagine 404" descr="http://demaco.consob/ArchiflowWeb/images/indicator.gif">
          <a:extLst>
            <a:ext uri="{FF2B5EF4-FFF2-40B4-BE49-F238E27FC236}">
              <a16:creationId xmlns:a16="http://schemas.microsoft.com/office/drawing/2014/main" id="{00000000-0008-0000-0000-00009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6" name="Immagine 405" descr="http://demaco.consob/ArchiflowWeb/images/indicator.gif">
          <a:extLst>
            <a:ext uri="{FF2B5EF4-FFF2-40B4-BE49-F238E27FC236}">
              <a16:creationId xmlns:a16="http://schemas.microsoft.com/office/drawing/2014/main" id="{00000000-0008-0000-0000-00009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7" name="Immagine 406" descr="http://demaco.consob/ArchiflowWeb/images/indicator.gif">
          <a:extLst>
            <a:ext uri="{FF2B5EF4-FFF2-40B4-BE49-F238E27FC236}">
              <a16:creationId xmlns:a16="http://schemas.microsoft.com/office/drawing/2014/main" id="{00000000-0008-0000-0000-00009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8" name="Immagine 407" descr="http://demaco.consob/ArchiflowWeb/images/indicator.gif">
          <a:extLst>
            <a:ext uri="{FF2B5EF4-FFF2-40B4-BE49-F238E27FC236}">
              <a16:creationId xmlns:a16="http://schemas.microsoft.com/office/drawing/2014/main" id="{00000000-0008-0000-0000-00009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09" name="Immagine 408" descr="http://demaco.consob/ArchiflowWeb/images/indicator.gif">
          <a:extLst>
            <a:ext uri="{FF2B5EF4-FFF2-40B4-BE49-F238E27FC236}">
              <a16:creationId xmlns:a16="http://schemas.microsoft.com/office/drawing/2014/main" id="{00000000-0008-0000-0000-00009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0" name="Immagine 409" descr="http://demaco.consob/ArchiflowWeb/images/indicator.gif">
          <a:extLst>
            <a:ext uri="{FF2B5EF4-FFF2-40B4-BE49-F238E27FC236}">
              <a16:creationId xmlns:a16="http://schemas.microsoft.com/office/drawing/2014/main" id="{00000000-0008-0000-0000-00009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1" name="Immagine 410" descr="http://demaco.consob/ArchiflowWeb/images/indicator.gif">
          <a:extLst>
            <a:ext uri="{FF2B5EF4-FFF2-40B4-BE49-F238E27FC236}">
              <a16:creationId xmlns:a16="http://schemas.microsoft.com/office/drawing/2014/main" id="{00000000-0008-0000-0000-00009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2" name="Immagine 411" descr="http://demaco.consob/ArchiflowWeb/images/indicator.gif">
          <a:extLst>
            <a:ext uri="{FF2B5EF4-FFF2-40B4-BE49-F238E27FC236}">
              <a16:creationId xmlns:a16="http://schemas.microsoft.com/office/drawing/2014/main" id="{00000000-0008-0000-0000-00009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3" name="Immagine 412" descr="http://demaco.consob/ArchiflowWeb/images/indicator.gif">
          <a:extLst>
            <a:ext uri="{FF2B5EF4-FFF2-40B4-BE49-F238E27FC236}">
              <a16:creationId xmlns:a16="http://schemas.microsoft.com/office/drawing/2014/main" id="{00000000-0008-0000-0000-00009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4" name="Immagine 413" descr="http://demaco.consob/ArchiflowWeb/images/indicator.gif">
          <a:extLst>
            <a:ext uri="{FF2B5EF4-FFF2-40B4-BE49-F238E27FC236}">
              <a16:creationId xmlns:a16="http://schemas.microsoft.com/office/drawing/2014/main" id="{00000000-0008-0000-0000-00009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15" name="Immagine 414" descr="http://demaco.consob/ArchiflowWeb/images/indicator.gif">
          <a:extLst>
            <a:ext uri="{FF2B5EF4-FFF2-40B4-BE49-F238E27FC236}">
              <a16:creationId xmlns:a16="http://schemas.microsoft.com/office/drawing/2014/main" id="{00000000-0008-0000-0000-00009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6" name="Immagine 415" descr="http://demaco.consob/ArchiflowWeb/images/indicator.gif">
          <a:extLst>
            <a:ext uri="{FF2B5EF4-FFF2-40B4-BE49-F238E27FC236}">
              <a16:creationId xmlns:a16="http://schemas.microsoft.com/office/drawing/2014/main" id="{00000000-0008-0000-0000-0000A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17" name="Immagine 416" descr="http://demaco.consob/ArchiflowWeb/images/indicator.gif">
          <a:extLst>
            <a:ext uri="{FF2B5EF4-FFF2-40B4-BE49-F238E27FC236}">
              <a16:creationId xmlns:a16="http://schemas.microsoft.com/office/drawing/2014/main" id="{00000000-0008-0000-0000-0000A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18" name="Immagine 417" descr="http://demaco.consob/ArchiflowWeb/images/indicator.gif">
          <a:extLst>
            <a:ext uri="{FF2B5EF4-FFF2-40B4-BE49-F238E27FC236}">
              <a16:creationId xmlns:a16="http://schemas.microsoft.com/office/drawing/2014/main" id="{00000000-0008-0000-0000-0000A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19" name="Immagine 418" descr="http://demaco.consob/ArchiflowWeb/images/indicator.gif">
          <a:extLst>
            <a:ext uri="{FF2B5EF4-FFF2-40B4-BE49-F238E27FC236}">
              <a16:creationId xmlns:a16="http://schemas.microsoft.com/office/drawing/2014/main" id="{00000000-0008-0000-0000-0000A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20" name="Immagine 419" descr="http://demaco.consob/ArchiflowWeb/images/indicator.gif">
          <a:extLst>
            <a:ext uri="{FF2B5EF4-FFF2-40B4-BE49-F238E27FC236}">
              <a16:creationId xmlns:a16="http://schemas.microsoft.com/office/drawing/2014/main" id="{00000000-0008-0000-0000-0000A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21" name="Immagine 420" descr="http://demaco.consob/ArchiflowWeb/images/indicator.gif">
          <a:extLst>
            <a:ext uri="{FF2B5EF4-FFF2-40B4-BE49-F238E27FC236}">
              <a16:creationId xmlns:a16="http://schemas.microsoft.com/office/drawing/2014/main" id="{00000000-0008-0000-0000-0000A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22" name="Immagine 421" descr="http://demaco.consob/ArchiflowWeb/images/indicator.gif">
          <a:extLst>
            <a:ext uri="{FF2B5EF4-FFF2-40B4-BE49-F238E27FC236}">
              <a16:creationId xmlns:a16="http://schemas.microsoft.com/office/drawing/2014/main" id="{00000000-0008-0000-0000-0000A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23" name="Immagine 422" descr="http://demaco.consob/ArchiflowWeb/images/indicator.gif">
          <a:extLst>
            <a:ext uri="{FF2B5EF4-FFF2-40B4-BE49-F238E27FC236}">
              <a16:creationId xmlns:a16="http://schemas.microsoft.com/office/drawing/2014/main" id="{00000000-0008-0000-0000-0000A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24" name="Immagine 423" descr="http://demaco.consob/ArchiflowWeb/images/indicator.gif">
          <a:extLst>
            <a:ext uri="{FF2B5EF4-FFF2-40B4-BE49-F238E27FC236}">
              <a16:creationId xmlns:a16="http://schemas.microsoft.com/office/drawing/2014/main" id="{00000000-0008-0000-0000-0000A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25" name="Immagine 424" descr="http://demaco.consob/ArchiflowWeb/images/indicator.gif">
          <a:extLst>
            <a:ext uri="{FF2B5EF4-FFF2-40B4-BE49-F238E27FC236}">
              <a16:creationId xmlns:a16="http://schemas.microsoft.com/office/drawing/2014/main" id="{00000000-0008-0000-0000-0000A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26" name="Immagine 425" descr="http://demaco.consob/ArchiflowWeb/images/indicator.gif">
          <a:extLst>
            <a:ext uri="{FF2B5EF4-FFF2-40B4-BE49-F238E27FC236}">
              <a16:creationId xmlns:a16="http://schemas.microsoft.com/office/drawing/2014/main" id="{00000000-0008-0000-0000-0000A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27" name="Immagine 426" descr="http://demaco.consob/ArchiflowWeb/images/indicator.gif">
          <a:extLst>
            <a:ext uri="{FF2B5EF4-FFF2-40B4-BE49-F238E27FC236}">
              <a16:creationId xmlns:a16="http://schemas.microsoft.com/office/drawing/2014/main" id="{00000000-0008-0000-0000-0000A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28" name="Immagine 427" descr="http://demaco.consob/ArchiflowWeb/images/indicator.gif">
          <a:extLst>
            <a:ext uri="{FF2B5EF4-FFF2-40B4-BE49-F238E27FC236}">
              <a16:creationId xmlns:a16="http://schemas.microsoft.com/office/drawing/2014/main" id="{00000000-0008-0000-0000-0000A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29" name="Immagine 428" descr="http://demaco.consob/ArchiflowWeb/images/indicator.gif">
          <a:extLst>
            <a:ext uri="{FF2B5EF4-FFF2-40B4-BE49-F238E27FC236}">
              <a16:creationId xmlns:a16="http://schemas.microsoft.com/office/drawing/2014/main" id="{00000000-0008-0000-0000-0000A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30" name="Immagine 429" descr="http://demaco.consob/ArchiflowWeb/images/indicator.gif">
          <a:extLst>
            <a:ext uri="{FF2B5EF4-FFF2-40B4-BE49-F238E27FC236}">
              <a16:creationId xmlns:a16="http://schemas.microsoft.com/office/drawing/2014/main" id="{00000000-0008-0000-0000-0000A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31" name="Immagine 430" descr="http://demaco.consob/ArchiflowWeb/images/indicator.gif">
          <a:extLst>
            <a:ext uri="{FF2B5EF4-FFF2-40B4-BE49-F238E27FC236}">
              <a16:creationId xmlns:a16="http://schemas.microsoft.com/office/drawing/2014/main" id="{00000000-0008-0000-0000-0000A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32" name="Immagine 431" descr="http://demaco.consob/ArchiflowWeb/images/indicator.gif">
          <a:extLst>
            <a:ext uri="{FF2B5EF4-FFF2-40B4-BE49-F238E27FC236}">
              <a16:creationId xmlns:a16="http://schemas.microsoft.com/office/drawing/2014/main" id="{00000000-0008-0000-0000-0000B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33" name="Immagine 432" descr="http://demaco.consob/ArchiflowWeb/images/indicator.gif">
          <a:extLst>
            <a:ext uri="{FF2B5EF4-FFF2-40B4-BE49-F238E27FC236}">
              <a16:creationId xmlns:a16="http://schemas.microsoft.com/office/drawing/2014/main" id="{00000000-0008-0000-0000-0000B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34" name="Immagine 433" descr="http://demaco.consob/ArchiflowWeb/images/indicator.gif">
          <a:extLst>
            <a:ext uri="{FF2B5EF4-FFF2-40B4-BE49-F238E27FC236}">
              <a16:creationId xmlns:a16="http://schemas.microsoft.com/office/drawing/2014/main" id="{00000000-0008-0000-0000-0000B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35" name="Immagine 434" descr="http://demaco.consob/ArchiflowWeb/images/indicator.gif">
          <a:extLst>
            <a:ext uri="{FF2B5EF4-FFF2-40B4-BE49-F238E27FC236}">
              <a16:creationId xmlns:a16="http://schemas.microsoft.com/office/drawing/2014/main" id="{00000000-0008-0000-0000-0000B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36" name="Immagine 435" descr="http://demaco.consob/ArchiflowWeb/images/indicator.gif">
          <a:extLst>
            <a:ext uri="{FF2B5EF4-FFF2-40B4-BE49-F238E27FC236}">
              <a16:creationId xmlns:a16="http://schemas.microsoft.com/office/drawing/2014/main" id="{00000000-0008-0000-0000-0000B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37" name="Immagine 436" descr="http://demaco.consob/ArchiflowWeb/images/indicator.gif">
          <a:extLst>
            <a:ext uri="{FF2B5EF4-FFF2-40B4-BE49-F238E27FC236}">
              <a16:creationId xmlns:a16="http://schemas.microsoft.com/office/drawing/2014/main" id="{00000000-0008-0000-0000-0000B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38" name="Immagine 437" descr="http://demaco.consob/ArchiflowWeb/images/indicator.gif">
          <a:extLst>
            <a:ext uri="{FF2B5EF4-FFF2-40B4-BE49-F238E27FC236}">
              <a16:creationId xmlns:a16="http://schemas.microsoft.com/office/drawing/2014/main" id="{00000000-0008-0000-0000-0000B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39" name="Immagine 438" descr="http://demaco.consob/ArchiflowWeb/images/indicator.gif">
          <a:extLst>
            <a:ext uri="{FF2B5EF4-FFF2-40B4-BE49-F238E27FC236}">
              <a16:creationId xmlns:a16="http://schemas.microsoft.com/office/drawing/2014/main" id="{00000000-0008-0000-0000-0000B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40" name="Immagine 439" descr="http://demaco.consob/ArchiflowWeb/images/indicator.gif">
          <a:extLst>
            <a:ext uri="{FF2B5EF4-FFF2-40B4-BE49-F238E27FC236}">
              <a16:creationId xmlns:a16="http://schemas.microsoft.com/office/drawing/2014/main" id="{00000000-0008-0000-0000-0000B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41" name="Immagine 440" descr="http://demaco.consob/ArchiflowWeb/images/indicator.gif">
          <a:extLst>
            <a:ext uri="{FF2B5EF4-FFF2-40B4-BE49-F238E27FC236}">
              <a16:creationId xmlns:a16="http://schemas.microsoft.com/office/drawing/2014/main" id="{00000000-0008-0000-0000-0000B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42" name="Immagine 441" descr="http://demaco.consob/ArchiflowWeb/images/indicator.gif">
          <a:extLst>
            <a:ext uri="{FF2B5EF4-FFF2-40B4-BE49-F238E27FC236}">
              <a16:creationId xmlns:a16="http://schemas.microsoft.com/office/drawing/2014/main" id="{00000000-0008-0000-0000-0000B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43" name="Immagine 442" descr="http://demaco.consob/ArchiflowWeb/images/indicator.gif">
          <a:extLst>
            <a:ext uri="{FF2B5EF4-FFF2-40B4-BE49-F238E27FC236}">
              <a16:creationId xmlns:a16="http://schemas.microsoft.com/office/drawing/2014/main" id="{00000000-0008-0000-0000-0000B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44" name="Immagine 443" descr="http://demaco.consob/ArchiflowWeb/images/indicator.gif">
          <a:extLst>
            <a:ext uri="{FF2B5EF4-FFF2-40B4-BE49-F238E27FC236}">
              <a16:creationId xmlns:a16="http://schemas.microsoft.com/office/drawing/2014/main" id="{00000000-0008-0000-0000-0000B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45" name="Immagine 444" descr="http://demaco.consob/ArchiflowWeb/images/indicator.gif">
          <a:extLst>
            <a:ext uri="{FF2B5EF4-FFF2-40B4-BE49-F238E27FC236}">
              <a16:creationId xmlns:a16="http://schemas.microsoft.com/office/drawing/2014/main" id="{00000000-0008-0000-0000-0000B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46" name="Immagine 445" descr="http://demaco.consob/ArchiflowWeb/images/indicator.gif">
          <a:extLst>
            <a:ext uri="{FF2B5EF4-FFF2-40B4-BE49-F238E27FC236}">
              <a16:creationId xmlns:a16="http://schemas.microsoft.com/office/drawing/2014/main" id="{00000000-0008-0000-0000-0000B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47" name="Immagine 446" descr="http://demaco.consob/ArchiflowWeb/images/indicator.gif">
          <a:extLst>
            <a:ext uri="{FF2B5EF4-FFF2-40B4-BE49-F238E27FC236}">
              <a16:creationId xmlns:a16="http://schemas.microsoft.com/office/drawing/2014/main" id="{00000000-0008-0000-0000-0000B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48" name="Immagine 447" descr="http://demaco.consob/ArchiflowWeb/images/indicator.gif">
          <a:extLst>
            <a:ext uri="{FF2B5EF4-FFF2-40B4-BE49-F238E27FC236}">
              <a16:creationId xmlns:a16="http://schemas.microsoft.com/office/drawing/2014/main" id="{00000000-0008-0000-0000-0000C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49" name="Immagine 448" descr="http://demaco.consob/ArchiflowWeb/images/indicator.gif">
          <a:extLst>
            <a:ext uri="{FF2B5EF4-FFF2-40B4-BE49-F238E27FC236}">
              <a16:creationId xmlns:a16="http://schemas.microsoft.com/office/drawing/2014/main" id="{00000000-0008-0000-0000-0000C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0" name="Immagine 449" descr="http://demaco.consob/ArchiflowWeb/images/indicator.gif">
          <a:extLst>
            <a:ext uri="{FF2B5EF4-FFF2-40B4-BE49-F238E27FC236}">
              <a16:creationId xmlns:a16="http://schemas.microsoft.com/office/drawing/2014/main" id="{00000000-0008-0000-0000-0000C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1" name="Immagine 450" descr="http://demaco.consob/ArchiflowWeb/images/indicator.gif">
          <a:extLst>
            <a:ext uri="{FF2B5EF4-FFF2-40B4-BE49-F238E27FC236}">
              <a16:creationId xmlns:a16="http://schemas.microsoft.com/office/drawing/2014/main" id="{00000000-0008-0000-0000-0000C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2" name="Immagine 451" descr="http://demaco.consob/ArchiflowWeb/images/indicator.gif">
          <a:extLst>
            <a:ext uri="{FF2B5EF4-FFF2-40B4-BE49-F238E27FC236}">
              <a16:creationId xmlns:a16="http://schemas.microsoft.com/office/drawing/2014/main" id="{00000000-0008-0000-0000-0000C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3" name="Immagine 452" descr="http://demaco.consob/ArchiflowWeb/images/indicator.gif">
          <a:extLst>
            <a:ext uri="{FF2B5EF4-FFF2-40B4-BE49-F238E27FC236}">
              <a16:creationId xmlns:a16="http://schemas.microsoft.com/office/drawing/2014/main" id="{00000000-0008-0000-0000-0000C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4" name="Immagine 453" descr="http://demaco.consob/ArchiflowWeb/images/indicator.gif">
          <a:extLst>
            <a:ext uri="{FF2B5EF4-FFF2-40B4-BE49-F238E27FC236}">
              <a16:creationId xmlns:a16="http://schemas.microsoft.com/office/drawing/2014/main" id="{00000000-0008-0000-0000-0000C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5" name="Immagine 454" descr="http://demaco.consob/ArchiflowWeb/images/indicator.gif">
          <a:extLst>
            <a:ext uri="{FF2B5EF4-FFF2-40B4-BE49-F238E27FC236}">
              <a16:creationId xmlns:a16="http://schemas.microsoft.com/office/drawing/2014/main" id="{00000000-0008-0000-0000-0000C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6" name="Immagine 455" descr="http://demaco.consob/ArchiflowWeb/images/indicator.gif">
          <a:extLst>
            <a:ext uri="{FF2B5EF4-FFF2-40B4-BE49-F238E27FC236}">
              <a16:creationId xmlns:a16="http://schemas.microsoft.com/office/drawing/2014/main" id="{00000000-0008-0000-0000-0000C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7" name="Immagine 456" descr="http://demaco.consob/ArchiflowWeb/images/indicator.gif">
          <a:extLst>
            <a:ext uri="{FF2B5EF4-FFF2-40B4-BE49-F238E27FC236}">
              <a16:creationId xmlns:a16="http://schemas.microsoft.com/office/drawing/2014/main" id="{00000000-0008-0000-0000-0000C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8" name="Immagine 457" descr="http://demaco.consob/ArchiflowWeb/images/indicator.gif">
          <a:extLst>
            <a:ext uri="{FF2B5EF4-FFF2-40B4-BE49-F238E27FC236}">
              <a16:creationId xmlns:a16="http://schemas.microsoft.com/office/drawing/2014/main" id="{00000000-0008-0000-0000-0000C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59" name="Immagine 458" descr="http://demaco.consob/ArchiflowWeb/images/indicator.gif">
          <a:extLst>
            <a:ext uri="{FF2B5EF4-FFF2-40B4-BE49-F238E27FC236}">
              <a16:creationId xmlns:a16="http://schemas.microsoft.com/office/drawing/2014/main" id="{00000000-0008-0000-0000-0000C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0" name="Immagine 459" descr="http://demaco.consob/ArchiflowWeb/images/indicator.gif">
          <a:extLst>
            <a:ext uri="{FF2B5EF4-FFF2-40B4-BE49-F238E27FC236}">
              <a16:creationId xmlns:a16="http://schemas.microsoft.com/office/drawing/2014/main" id="{00000000-0008-0000-0000-0000C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1" name="Immagine 460" descr="http://demaco.consob/ArchiflowWeb/images/indicator.gif">
          <a:extLst>
            <a:ext uri="{FF2B5EF4-FFF2-40B4-BE49-F238E27FC236}">
              <a16:creationId xmlns:a16="http://schemas.microsoft.com/office/drawing/2014/main" id="{00000000-0008-0000-0000-0000C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2" name="Immagine 461" descr="http://demaco.consob/ArchiflowWeb/images/indicator.gif">
          <a:extLst>
            <a:ext uri="{FF2B5EF4-FFF2-40B4-BE49-F238E27FC236}">
              <a16:creationId xmlns:a16="http://schemas.microsoft.com/office/drawing/2014/main" id="{00000000-0008-0000-0000-0000C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3" name="Immagine 462" descr="http://demaco.consob/ArchiflowWeb/images/indicator.gif">
          <a:extLst>
            <a:ext uri="{FF2B5EF4-FFF2-40B4-BE49-F238E27FC236}">
              <a16:creationId xmlns:a16="http://schemas.microsoft.com/office/drawing/2014/main" id="{00000000-0008-0000-0000-0000C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4" name="Immagine 463" descr="http://demaco.consob/ArchiflowWeb/images/indicator.gif">
          <a:extLst>
            <a:ext uri="{FF2B5EF4-FFF2-40B4-BE49-F238E27FC236}">
              <a16:creationId xmlns:a16="http://schemas.microsoft.com/office/drawing/2014/main" id="{00000000-0008-0000-0000-0000D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5" name="Immagine 464" descr="http://demaco.consob/ArchiflowWeb/images/indicator.gif">
          <a:extLst>
            <a:ext uri="{FF2B5EF4-FFF2-40B4-BE49-F238E27FC236}">
              <a16:creationId xmlns:a16="http://schemas.microsoft.com/office/drawing/2014/main" id="{00000000-0008-0000-0000-0000D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6" name="Immagine 465" descr="http://demaco.consob/ArchiflowWeb/images/indicator.gif">
          <a:extLst>
            <a:ext uri="{FF2B5EF4-FFF2-40B4-BE49-F238E27FC236}">
              <a16:creationId xmlns:a16="http://schemas.microsoft.com/office/drawing/2014/main" id="{00000000-0008-0000-0000-0000D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7" name="Immagine 466" descr="http://demaco.consob/ArchiflowWeb/images/indicator.gif">
          <a:extLst>
            <a:ext uri="{FF2B5EF4-FFF2-40B4-BE49-F238E27FC236}">
              <a16:creationId xmlns:a16="http://schemas.microsoft.com/office/drawing/2014/main" id="{00000000-0008-0000-0000-0000D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68" name="Immagine 467" descr="http://demaco.consob/ArchiflowWeb/images/indicator.gif">
          <a:extLst>
            <a:ext uri="{FF2B5EF4-FFF2-40B4-BE49-F238E27FC236}">
              <a16:creationId xmlns:a16="http://schemas.microsoft.com/office/drawing/2014/main" id="{00000000-0008-0000-0000-0000D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69" name="Immagine 468" descr="http://demaco.consob/ArchiflowWeb/images/indicator.gif">
          <a:extLst>
            <a:ext uri="{FF2B5EF4-FFF2-40B4-BE49-F238E27FC236}">
              <a16:creationId xmlns:a16="http://schemas.microsoft.com/office/drawing/2014/main" id="{00000000-0008-0000-0000-0000D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70" name="Immagine 469" descr="http://demaco.consob/ArchiflowWeb/images/indicator.gif">
          <a:extLst>
            <a:ext uri="{FF2B5EF4-FFF2-40B4-BE49-F238E27FC236}">
              <a16:creationId xmlns:a16="http://schemas.microsoft.com/office/drawing/2014/main" id="{00000000-0008-0000-0000-0000D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71" name="Immagine 470" descr="http://demaco.consob/ArchiflowWeb/images/indicator.gif">
          <a:extLst>
            <a:ext uri="{FF2B5EF4-FFF2-40B4-BE49-F238E27FC236}">
              <a16:creationId xmlns:a16="http://schemas.microsoft.com/office/drawing/2014/main" id="{00000000-0008-0000-0000-0000D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72" name="Immagine 471" descr="http://demaco.consob/ArchiflowWeb/images/indicator.gif">
          <a:extLst>
            <a:ext uri="{FF2B5EF4-FFF2-40B4-BE49-F238E27FC236}">
              <a16:creationId xmlns:a16="http://schemas.microsoft.com/office/drawing/2014/main" id="{00000000-0008-0000-0000-0000D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73" name="Immagine 472" descr="http://demaco.consob/ArchiflowWeb/images/indicator.gif">
          <a:extLst>
            <a:ext uri="{FF2B5EF4-FFF2-40B4-BE49-F238E27FC236}">
              <a16:creationId xmlns:a16="http://schemas.microsoft.com/office/drawing/2014/main" id="{00000000-0008-0000-0000-0000D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74" name="Immagine 473" descr="http://demaco.consob/ArchiflowWeb/images/indicator.gif">
          <a:extLst>
            <a:ext uri="{FF2B5EF4-FFF2-40B4-BE49-F238E27FC236}">
              <a16:creationId xmlns:a16="http://schemas.microsoft.com/office/drawing/2014/main" id="{00000000-0008-0000-0000-0000D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75" name="Immagine 474" descr="http://demaco.consob/ArchiflowWeb/images/indicator.gif">
          <a:extLst>
            <a:ext uri="{FF2B5EF4-FFF2-40B4-BE49-F238E27FC236}">
              <a16:creationId xmlns:a16="http://schemas.microsoft.com/office/drawing/2014/main" id="{00000000-0008-0000-0000-0000D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76" name="Immagine 475" descr="http://demaco.consob/ArchiflowWeb/images/indicator.gif">
          <a:extLst>
            <a:ext uri="{FF2B5EF4-FFF2-40B4-BE49-F238E27FC236}">
              <a16:creationId xmlns:a16="http://schemas.microsoft.com/office/drawing/2014/main" id="{00000000-0008-0000-0000-0000D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77" name="Immagine 476" descr="http://demaco.consob/ArchiflowWeb/images/indicator.gif">
          <a:extLst>
            <a:ext uri="{FF2B5EF4-FFF2-40B4-BE49-F238E27FC236}">
              <a16:creationId xmlns:a16="http://schemas.microsoft.com/office/drawing/2014/main" id="{00000000-0008-0000-0000-0000D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78" name="Immagine 477" descr="http://demaco.consob/ArchiflowWeb/images/indicator.gif">
          <a:extLst>
            <a:ext uri="{FF2B5EF4-FFF2-40B4-BE49-F238E27FC236}">
              <a16:creationId xmlns:a16="http://schemas.microsoft.com/office/drawing/2014/main" id="{00000000-0008-0000-0000-0000D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79" name="Immagine 478" descr="http://demaco.consob/ArchiflowWeb/images/indicator.gif">
          <a:extLst>
            <a:ext uri="{FF2B5EF4-FFF2-40B4-BE49-F238E27FC236}">
              <a16:creationId xmlns:a16="http://schemas.microsoft.com/office/drawing/2014/main" id="{00000000-0008-0000-0000-0000D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80" name="Immagine 479" descr="http://demaco.consob/ArchiflowWeb/images/indicator.gif">
          <a:extLst>
            <a:ext uri="{FF2B5EF4-FFF2-40B4-BE49-F238E27FC236}">
              <a16:creationId xmlns:a16="http://schemas.microsoft.com/office/drawing/2014/main" id="{00000000-0008-0000-0000-0000E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81" name="Immagine 480" descr="http://demaco.consob/ArchiflowWeb/images/indicator.gif">
          <a:extLst>
            <a:ext uri="{FF2B5EF4-FFF2-40B4-BE49-F238E27FC236}">
              <a16:creationId xmlns:a16="http://schemas.microsoft.com/office/drawing/2014/main" id="{00000000-0008-0000-0000-0000E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82" name="Immagine 481" descr="http://demaco.consob/ArchiflowWeb/images/indicator.gif">
          <a:extLst>
            <a:ext uri="{FF2B5EF4-FFF2-40B4-BE49-F238E27FC236}">
              <a16:creationId xmlns:a16="http://schemas.microsoft.com/office/drawing/2014/main" id="{00000000-0008-0000-0000-0000E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83" name="Immagine 482" descr="http://demaco.consob/ArchiflowWeb/images/indicator.gif">
          <a:extLst>
            <a:ext uri="{FF2B5EF4-FFF2-40B4-BE49-F238E27FC236}">
              <a16:creationId xmlns:a16="http://schemas.microsoft.com/office/drawing/2014/main" id="{00000000-0008-0000-0000-0000E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84" name="Immagine 483" descr="http://demaco.consob/ArchiflowWeb/images/indicator.gif">
          <a:extLst>
            <a:ext uri="{FF2B5EF4-FFF2-40B4-BE49-F238E27FC236}">
              <a16:creationId xmlns:a16="http://schemas.microsoft.com/office/drawing/2014/main" id="{00000000-0008-0000-0000-0000E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85" name="Immagine 484" descr="http://demaco.consob/ArchiflowWeb/images/indicator.gif">
          <a:extLst>
            <a:ext uri="{FF2B5EF4-FFF2-40B4-BE49-F238E27FC236}">
              <a16:creationId xmlns:a16="http://schemas.microsoft.com/office/drawing/2014/main" id="{00000000-0008-0000-0000-0000E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86" name="Immagine 485" descr="http://demaco.consob/ArchiflowWeb/images/indicator.gif">
          <a:extLst>
            <a:ext uri="{FF2B5EF4-FFF2-40B4-BE49-F238E27FC236}">
              <a16:creationId xmlns:a16="http://schemas.microsoft.com/office/drawing/2014/main" id="{00000000-0008-0000-0000-0000E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87" name="Immagine 486" descr="http://demaco.consob/ArchiflowWeb/images/indicator.gif">
          <a:extLst>
            <a:ext uri="{FF2B5EF4-FFF2-40B4-BE49-F238E27FC236}">
              <a16:creationId xmlns:a16="http://schemas.microsoft.com/office/drawing/2014/main" id="{00000000-0008-0000-0000-0000E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88" name="Immagine 487" descr="http://demaco.consob/ArchiflowWeb/images/indicator.gif">
          <a:extLst>
            <a:ext uri="{FF2B5EF4-FFF2-40B4-BE49-F238E27FC236}">
              <a16:creationId xmlns:a16="http://schemas.microsoft.com/office/drawing/2014/main" id="{00000000-0008-0000-0000-0000E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89" name="Immagine 488" descr="http://demaco.consob/ArchiflowWeb/images/indicator.gif">
          <a:extLst>
            <a:ext uri="{FF2B5EF4-FFF2-40B4-BE49-F238E27FC236}">
              <a16:creationId xmlns:a16="http://schemas.microsoft.com/office/drawing/2014/main" id="{00000000-0008-0000-0000-0000E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90" name="Immagine 489" descr="http://demaco.consob/ArchiflowWeb/images/indicator.gif">
          <a:extLst>
            <a:ext uri="{FF2B5EF4-FFF2-40B4-BE49-F238E27FC236}">
              <a16:creationId xmlns:a16="http://schemas.microsoft.com/office/drawing/2014/main" id="{00000000-0008-0000-0000-0000E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91" name="Immagine 490" descr="http://demaco.consob/ArchiflowWeb/images/indicator.gif">
          <a:extLst>
            <a:ext uri="{FF2B5EF4-FFF2-40B4-BE49-F238E27FC236}">
              <a16:creationId xmlns:a16="http://schemas.microsoft.com/office/drawing/2014/main" id="{00000000-0008-0000-0000-0000E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92" name="Immagine 491" descr="http://demaco.consob/ArchiflowWeb/images/indicator.gif">
          <a:extLst>
            <a:ext uri="{FF2B5EF4-FFF2-40B4-BE49-F238E27FC236}">
              <a16:creationId xmlns:a16="http://schemas.microsoft.com/office/drawing/2014/main" id="{00000000-0008-0000-0000-0000E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93" name="Immagine 492" descr="http://demaco.consob/ArchiflowWeb/images/indicator.gif">
          <a:extLst>
            <a:ext uri="{FF2B5EF4-FFF2-40B4-BE49-F238E27FC236}">
              <a16:creationId xmlns:a16="http://schemas.microsoft.com/office/drawing/2014/main" id="{00000000-0008-0000-0000-0000E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94" name="Immagine 493" descr="http://demaco.consob/ArchiflowWeb/images/indicator.gif">
          <a:extLst>
            <a:ext uri="{FF2B5EF4-FFF2-40B4-BE49-F238E27FC236}">
              <a16:creationId xmlns:a16="http://schemas.microsoft.com/office/drawing/2014/main" id="{00000000-0008-0000-0000-0000E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95" name="Immagine 494" descr="http://demaco.consob/ArchiflowWeb/images/indicator.gif">
          <a:extLst>
            <a:ext uri="{FF2B5EF4-FFF2-40B4-BE49-F238E27FC236}">
              <a16:creationId xmlns:a16="http://schemas.microsoft.com/office/drawing/2014/main" id="{00000000-0008-0000-0000-0000E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96" name="Immagine 495" descr="http://demaco.consob/ArchiflowWeb/images/indicator.gif">
          <a:extLst>
            <a:ext uri="{FF2B5EF4-FFF2-40B4-BE49-F238E27FC236}">
              <a16:creationId xmlns:a16="http://schemas.microsoft.com/office/drawing/2014/main" id="{00000000-0008-0000-0000-0000F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97" name="Immagine 496" descr="http://demaco.consob/ArchiflowWeb/images/indicator.gif">
          <a:extLst>
            <a:ext uri="{FF2B5EF4-FFF2-40B4-BE49-F238E27FC236}">
              <a16:creationId xmlns:a16="http://schemas.microsoft.com/office/drawing/2014/main" id="{00000000-0008-0000-0000-0000F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498" name="Immagine 497" descr="http://demaco.consob/ArchiflowWeb/images/indicator.gif">
          <a:extLst>
            <a:ext uri="{FF2B5EF4-FFF2-40B4-BE49-F238E27FC236}">
              <a16:creationId xmlns:a16="http://schemas.microsoft.com/office/drawing/2014/main" id="{00000000-0008-0000-0000-0000F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499" name="Immagine 498" descr="http://demaco.consob/ArchiflowWeb/images/indicator.gif">
          <a:extLst>
            <a:ext uri="{FF2B5EF4-FFF2-40B4-BE49-F238E27FC236}">
              <a16:creationId xmlns:a16="http://schemas.microsoft.com/office/drawing/2014/main" id="{00000000-0008-0000-0000-0000F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00" name="Immagine 499" descr="http://demaco.consob/ArchiflowWeb/images/indicator.gif">
          <a:extLst>
            <a:ext uri="{FF2B5EF4-FFF2-40B4-BE49-F238E27FC236}">
              <a16:creationId xmlns:a16="http://schemas.microsoft.com/office/drawing/2014/main" id="{00000000-0008-0000-0000-0000F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01" name="Immagine 500" descr="http://demaco.consob/ArchiflowWeb/images/indicator.gif">
          <a:extLst>
            <a:ext uri="{FF2B5EF4-FFF2-40B4-BE49-F238E27FC236}">
              <a16:creationId xmlns:a16="http://schemas.microsoft.com/office/drawing/2014/main" id="{00000000-0008-0000-0000-0000F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02" name="Immagine 501" descr="http://demaco.consob/ArchiflowWeb/images/indicator.gif">
          <a:extLst>
            <a:ext uri="{FF2B5EF4-FFF2-40B4-BE49-F238E27FC236}">
              <a16:creationId xmlns:a16="http://schemas.microsoft.com/office/drawing/2014/main" id="{00000000-0008-0000-0000-0000F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03" name="Immagine 502" descr="http://demaco.consob/ArchiflowWeb/images/indicator.gif">
          <a:extLst>
            <a:ext uri="{FF2B5EF4-FFF2-40B4-BE49-F238E27FC236}">
              <a16:creationId xmlns:a16="http://schemas.microsoft.com/office/drawing/2014/main" id="{00000000-0008-0000-0000-0000F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04" name="Immagine 503" descr="http://demaco.consob/ArchiflowWeb/images/indicator.gif">
          <a:extLst>
            <a:ext uri="{FF2B5EF4-FFF2-40B4-BE49-F238E27FC236}">
              <a16:creationId xmlns:a16="http://schemas.microsoft.com/office/drawing/2014/main" id="{00000000-0008-0000-0000-0000F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05" name="Immagine 504" descr="http://demaco.consob/ArchiflowWeb/images/indicator.gif">
          <a:extLst>
            <a:ext uri="{FF2B5EF4-FFF2-40B4-BE49-F238E27FC236}">
              <a16:creationId xmlns:a16="http://schemas.microsoft.com/office/drawing/2014/main" id="{00000000-0008-0000-0000-0000F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06" name="Immagine 505" descr="http://demaco.consob/ArchiflowWeb/images/indicator.gif">
          <a:extLst>
            <a:ext uri="{FF2B5EF4-FFF2-40B4-BE49-F238E27FC236}">
              <a16:creationId xmlns:a16="http://schemas.microsoft.com/office/drawing/2014/main" id="{00000000-0008-0000-0000-0000F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07" name="Immagine 506" descr="http://demaco.consob/ArchiflowWeb/images/indicator.gif">
          <a:extLst>
            <a:ext uri="{FF2B5EF4-FFF2-40B4-BE49-F238E27FC236}">
              <a16:creationId xmlns:a16="http://schemas.microsoft.com/office/drawing/2014/main" id="{00000000-0008-0000-0000-0000F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08" name="Immagine 507" descr="http://demaco.consob/ArchiflowWeb/images/indicator.gif">
          <a:extLst>
            <a:ext uri="{FF2B5EF4-FFF2-40B4-BE49-F238E27FC236}">
              <a16:creationId xmlns:a16="http://schemas.microsoft.com/office/drawing/2014/main" id="{00000000-0008-0000-0000-0000F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09" name="Immagine 508" descr="http://demaco.consob/ArchiflowWeb/images/indicator.gif">
          <a:extLst>
            <a:ext uri="{FF2B5EF4-FFF2-40B4-BE49-F238E27FC236}">
              <a16:creationId xmlns:a16="http://schemas.microsoft.com/office/drawing/2014/main" id="{00000000-0008-0000-0000-0000F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10" name="Immagine 509" descr="http://demaco.consob/ArchiflowWeb/images/indicator.gif">
          <a:extLst>
            <a:ext uri="{FF2B5EF4-FFF2-40B4-BE49-F238E27FC236}">
              <a16:creationId xmlns:a16="http://schemas.microsoft.com/office/drawing/2014/main" id="{00000000-0008-0000-0000-0000F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11" name="Immagine 510" descr="http://demaco.consob/ArchiflowWeb/images/indicator.gif">
          <a:extLst>
            <a:ext uri="{FF2B5EF4-FFF2-40B4-BE49-F238E27FC236}">
              <a16:creationId xmlns:a16="http://schemas.microsoft.com/office/drawing/2014/main" id="{00000000-0008-0000-0000-0000F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66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12" name="Immagine 511" descr="http://demaco.consob/ArchiflowWeb/images/indicator.gif">
          <a:extLst>
            <a:ext uri="{FF2B5EF4-FFF2-40B4-BE49-F238E27FC236}">
              <a16:creationId xmlns:a16="http://schemas.microsoft.com/office/drawing/2014/main" id="{00000000-0008-0000-0000-00000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13" name="Immagine 512" descr="http://demaco.consob/ArchiflowWeb/images/indicator.gif">
          <a:extLst>
            <a:ext uri="{FF2B5EF4-FFF2-40B4-BE49-F238E27FC236}">
              <a16:creationId xmlns:a16="http://schemas.microsoft.com/office/drawing/2014/main" id="{00000000-0008-0000-0000-00000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6811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14" name="Immagine 513" descr="http://demaco.consob/ArchiflowWeb/images/indicator.gif">
          <a:extLst>
            <a:ext uri="{FF2B5EF4-FFF2-40B4-BE49-F238E27FC236}">
              <a16:creationId xmlns:a16="http://schemas.microsoft.com/office/drawing/2014/main" id="{00000000-0008-0000-0000-00000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15" name="Immagine 514" descr="http://demaco.consob/ArchiflowWeb/images/indicator.gif">
          <a:extLst>
            <a:ext uri="{FF2B5EF4-FFF2-40B4-BE49-F238E27FC236}">
              <a16:creationId xmlns:a16="http://schemas.microsoft.com/office/drawing/2014/main" id="{00000000-0008-0000-0000-00000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16" name="Immagine 515" descr="http://demaco.consob/ArchiflowWeb/images/indicator.gif">
          <a:extLst>
            <a:ext uri="{FF2B5EF4-FFF2-40B4-BE49-F238E27FC236}">
              <a16:creationId xmlns:a16="http://schemas.microsoft.com/office/drawing/2014/main" id="{00000000-0008-0000-0000-00000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17" name="Immagine 516" descr="http://demaco.consob/ArchiflowWeb/images/indicator.gif">
          <a:extLst>
            <a:ext uri="{FF2B5EF4-FFF2-40B4-BE49-F238E27FC236}">
              <a16:creationId xmlns:a16="http://schemas.microsoft.com/office/drawing/2014/main" id="{00000000-0008-0000-0000-00000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871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18" name="Immagine 517" descr="http://demaco.consob/ArchiflowWeb/images/indicator.gif">
          <a:extLst>
            <a:ext uri="{FF2B5EF4-FFF2-40B4-BE49-F238E27FC236}">
              <a16:creationId xmlns:a16="http://schemas.microsoft.com/office/drawing/2014/main" id="{00000000-0008-0000-0000-00000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19" name="Immagine 518" descr="http://demaco.consob/ArchiflowWeb/images/indicator.gif">
          <a:extLst>
            <a:ext uri="{FF2B5EF4-FFF2-40B4-BE49-F238E27FC236}">
              <a16:creationId xmlns:a16="http://schemas.microsoft.com/office/drawing/2014/main" id="{00000000-0008-0000-0000-00000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20" name="Immagine 519" descr="http://demaco.consob/ArchiflowWeb/images/indicator.gif">
          <a:extLst>
            <a:ext uri="{FF2B5EF4-FFF2-40B4-BE49-F238E27FC236}">
              <a16:creationId xmlns:a16="http://schemas.microsoft.com/office/drawing/2014/main" id="{00000000-0008-0000-0000-00000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21" name="Immagine 520" descr="http://demaco.consob/ArchiflowWeb/images/indicator.gif">
          <a:extLst>
            <a:ext uri="{FF2B5EF4-FFF2-40B4-BE49-F238E27FC236}">
              <a16:creationId xmlns:a16="http://schemas.microsoft.com/office/drawing/2014/main" id="{00000000-0008-0000-0000-00000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22" name="Immagine 521" descr="http://demaco.consob/ArchiflowWeb/images/indicator.gif">
          <a:extLst>
            <a:ext uri="{FF2B5EF4-FFF2-40B4-BE49-F238E27FC236}">
              <a16:creationId xmlns:a16="http://schemas.microsoft.com/office/drawing/2014/main" id="{00000000-0008-0000-0000-00000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23" name="Immagine 522" descr="http://demaco.consob/ArchiflowWeb/images/indicator.gif">
          <a:extLst>
            <a:ext uri="{FF2B5EF4-FFF2-40B4-BE49-F238E27FC236}">
              <a16:creationId xmlns:a16="http://schemas.microsoft.com/office/drawing/2014/main" id="{00000000-0008-0000-0000-00000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24" name="Immagine 523" descr="http://demaco.consob/ArchiflowWeb/images/indicator.gif">
          <a:extLst>
            <a:ext uri="{FF2B5EF4-FFF2-40B4-BE49-F238E27FC236}">
              <a16:creationId xmlns:a16="http://schemas.microsoft.com/office/drawing/2014/main" id="{00000000-0008-0000-0000-00000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25" name="Immagine 524" descr="http://demaco.consob/ArchiflowWeb/images/indicator.gif">
          <a:extLst>
            <a:ext uri="{FF2B5EF4-FFF2-40B4-BE49-F238E27FC236}">
              <a16:creationId xmlns:a16="http://schemas.microsoft.com/office/drawing/2014/main" id="{00000000-0008-0000-0000-00000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26" name="Immagine 525" descr="http://demaco.consob/ArchiflowWeb/images/indicator.gif">
          <a:extLst>
            <a:ext uri="{FF2B5EF4-FFF2-40B4-BE49-F238E27FC236}">
              <a16:creationId xmlns:a16="http://schemas.microsoft.com/office/drawing/2014/main" id="{00000000-0008-0000-0000-00000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27" name="Immagine 526" descr="http://demaco.consob/ArchiflowWeb/images/indicator.gif">
          <a:extLst>
            <a:ext uri="{FF2B5EF4-FFF2-40B4-BE49-F238E27FC236}">
              <a16:creationId xmlns:a16="http://schemas.microsoft.com/office/drawing/2014/main" id="{00000000-0008-0000-0000-00000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28" name="Immagine 527" descr="http://demaco.consob/ArchiflowWeb/images/indicator.gif">
          <a:extLst>
            <a:ext uri="{FF2B5EF4-FFF2-40B4-BE49-F238E27FC236}">
              <a16:creationId xmlns:a16="http://schemas.microsoft.com/office/drawing/2014/main" id="{00000000-0008-0000-0000-00001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29" name="Immagine 528" descr="http://demaco.consob/ArchiflowWeb/images/indicator.gif">
          <a:extLst>
            <a:ext uri="{FF2B5EF4-FFF2-40B4-BE49-F238E27FC236}">
              <a16:creationId xmlns:a16="http://schemas.microsoft.com/office/drawing/2014/main" id="{00000000-0008-0000-0000-00001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30" name="Immagine 529" descr="http://demaco.consob/ArchiflowWeb/images/indicator.gif">
          <a:extLst>
            <a:ext uri="{FF2B5EF4-FFF2-40B4-BE49-F238E27FC236}">
              <a16:creationId xmlns:a16="http://schemas.microsoft.com/office/drawing/2014/main" id="{00000000-0008-0000-0000-00001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31" name="Immagine 530" descr="http://demaco.consob/ArchiflowWeb/images/indicator.gif">
          <a:extLst>
            <a:ext uri="{FF2B5EF4-FFF2-40B4-BE49-F238E27FC236}">
              <a16:creationId xmlns:a16="http://schemas.microsoft.com/office/drawing/2014/main" id="{00000000-0008-0000-0000-00001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254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32" name="Immagine 531" descr="http://demaco.consob/ArchiflowWeb/images/indicator.gif">
          <a:extLst>
            <a:ext uri="{FF2B5EF4-FFF2-40B4-BE49-F238E27FC236}">
              <a16:creationId xmlns:a16="http://schemas.microsoft.com/office/drawing/2014/main" id="{00000000-0008-0000-0000-00001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33" name="Immagine 532" descr="http://demaco.consob/ArchiflowWeb/images/indicator.gif">
          <a:extLst>
            <a:ext uri="{FF2B5EF4-FFF2-40B4-BE49-F238E27FC236}">
              <a16:creationId xmlns:a16="http://schemas.microsoft.com/office/drawing/2014/main" id="{00000000-0008-0000-0000-00001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34" name="Immagine 533" descr="http://demaco.consob/ArchiflowWeb/images/indicator.gif">
          <a:extLst>
            <a:ext uri="{FF2B5EF4-FFF2-40B4-BE49-F238E27FC236}">
              <a16:creationId xmlns:a16="http://schemas.microsoft.com/office/drawing/2014/main" id="{00000000-0008-0000-0000-00001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35" name="Immagine 534" descr="http://demaco.consob/ArchiflowWeb/images/indicator.gif">
          <a:extLst>
            <a:ext uri="{FF2B5EF4-FFF2-40B4-BE49-F238E27FC236}">
              <a16:creationId xmlns:a16="http://schemas.microsoft.com/office/drawing/2014/main" id="{00000000-0008-0000-0000-00001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36" name="Immagine 535" descr="http://demaco.consob/ArchiflowWeb/images/indicator.gif">
          <a:extLst>
            <a:ext uri="{FF2B5EF4-FFF2-40B4-BE49-F238E27FC236}">
              <a16:creationId xmlns:a16="http://schemas.microsoft.com/office/drawing/2014/main" id="{00000000-0008-0000-0000-00001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37" name="Immagine 536" descr="http://demaco.consob/ArchiflowWeb/images/indicator.gif">
          <a:extLst>
            <a:ext uri="{FF2B5EF4-FFF2-40B4-BE49-F238E27FC236}">
              <a16:creationId xmlns:a16="http://schemas.microsoft.com/office/drawing/2014/main" id="{00000000-0008-0000-0000-00001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38" name="Immagine 537" descr="http://demaco.consob/ArchiflowWeb/images/indicator.gif">
          <a:extLst>
            <a:ext uri="{FF2B5EF4-FFF2-40B4-BE49-F238E27FC236}">
              <a16:creationId xmlns:a16="http://schemas.microsoft.com/office/drawing/2014/main" id="{00000000-0008-0000-0000-00001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39" name="Immagine 538" descr="http://demaco.consob/ArchiflowWeb/images/indicator.gif">
          <a:extLst>
            <a:ext uri="{FF2B5EF4-FFF2-40B4-BE49-F238E27FC236}">
              <a16:creationId xmlns:a16="http://schemas.microsoft.com/office/drawing/2014/main" id="{00000000-0008-0000-0000-00001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40" name="Immagine 539" descr="http://demaco.consob/ArchiflowWeb/images/indicator.gif">
          <a:extLst>
            <a:ext uri="{FF2B5EF4-FFF2-40B4-BE49-F238E27FC236}">
              <a16:creationId xmlns:a16="http://schemas.microsoft.com/office/drawing/2014/main" id="{00000000-0008-0000-0000-00001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41" name="Immagine 540" descr="http://demaco.consob/ArchiflowWeb/images/indicator.gif">
          <a:extLst>
            <a:ext uri="{FF2B5EF4-FFF2-40B4-BE49-F238E27FC236}">
              <a16:creationId xmlns:a16="http://schemas.microsoft.com/office/drawing/2014/main" id="{00000000-0008-0000-0000-00001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42" name="Immagine 541" descr="http://demaco.consob/ArchiflowWeb/images/indicator.gif">
          <a:extLst>
            <a:ext uri="{FF2B5EF4-FFF2-40B4-BE49-F238E27FC236}">
              <a16:creationId xmlns:a16="http://schemas.microsoft.com/office/drawing/2014/main" id="{00000000-0008-0000-0000-00001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43" name="Immagine 542" descr="http://demaco.consob/ArchiflowWeb/images/indicator.gif">
          <a:extLst>
            <a:ext uri="{FF2B5EF4-FFF2-40B4-BE49-F238E27FC236}">
              <a16:creationId xmlns:a16="http://schemas.microsoft.com/office/drawing/2014/main" id="{00000000-0008-0000-0000-00001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44" name="Immagine 543" descr="http://demaco.consob/ArchiflowWeb/images/indicator.gif">
          <a:extLst>
            <a:ext uri="{FF2B5EF4-FFF2-40B4-BE49-F238E27FC236}">
              <a16:creationId xmlns:a16="http://schemas.microsoft.com/office/drawing/2014/main" id="{00000000-0008-0000-0000-00002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45" name="Immagine 544" descr="http://demaco.consob/ArchiflowWeb/images/indicator.gif">
          <a:extLst>
            <a:ext uri="{FF2B5EF4-FFF2-40B4-BE49-F238E27FC236}">
              <a16:creationId xmlns:a16="http://schemas.microsoft.com/office/drawing/2014/main" id="{00000000-0008-0000-0000-00002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445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46" name="Immagine 545" descr="http://demaco.consob/ArchiflowWeb/images/indicator.gif">
          <a:extLst>
            <a:ext uri="{FF2B5EF4-FFF2-40B4-BE49-F238E27FC236}">
              <a16:creationId xmlns:a16="http://schemas.microsoft.com/office/drawing/2014/main" id="{00000000-0008-0000-0000-00002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47" name="Immagine 546" descr="http://demaco.consob/ArchiflowWeb/images/indicator.gif">
          <a:extLst>
            <a:ext uri="{FF2B5EF4-FFF2-40B4-BE49-F238E27FC236}">
              <a16:creationId xmlns:a16="http://schemas.microsoft.com/office/drawing/2014/main" id="{00000000-0008-0000-0000-00002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48" name="Immagine 547" descr="http://demaco.consob/ArchiflowWeb/images/indicator.gif">
          <a:extLst>
            <a:ext uri="{FF2B5EF4-FFF2-40B4-BE49-F238E27FC236}">
              <a16:creationId xmlns:a16="http://schemas.microsoft.com/office/drawing/2014/main" id="{00000000-0008-0000-0000-00002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49" name="Immagine 548" descr="http://demaco.consob/ArchiflowWeb/images/indicator.gif">
          <a:extLst>
            <a:ext uri="{FF2B5EF4-FFF2-40B4-BE49-F238E27FC236}">
              <a16:creationId xmlns:a16="http://schemas.microsoft.com/office/drawing/2014/main" id="{00000000-0008-0000-0000-00002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50" name="Immagine 549" descr="http://demaco.consob/ArchiflowWeb/images/indicator.gif">
          <a:extLst>
            <a:ext uri="{FF2B5EF4-FFF2-40B4-BE49-F238E27FC236}">
              <a16:creationId xmlns:a16="http://schemas.microsoft.com/office/drawing/2014/main" id="{00000000-0008-0000-0000-00002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51" name="Immagine 550" descr="http://demaco.consob/ArchiflowWeb/images/indicator.gif">
          <a:extLst>
            <a:ext uri="{FF2B5EF4-FFF2-40B4-BE49-F238E27FC236}">
              <a16:creationId xmlns:a16="http://schemas.microsoft.com/office/drawing/2014/main" id="{00000000-0008-0000-0000-00002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52" name="Immagine 551" descr="http://demaco.consob/ArchiflowWeb/images/indicator.gif">
          <a:extLst>
            <a:ext uri="{FF2B5EF4-FFF2-40B4-BE49-F238E27FC236}">
              <a16:creationId xmlns:a16="http://schemas.microsoft.com/office/drawing/2014/main" id="{00000000-0008-0000-0000-00002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53" name="Immagine 552" descr="http://demaco.consob/ArchiflowWeb/images/indicator.gif">
          <a:extLst>
            <a:ext uri="{FF2B5EF4-FFF2-40B4-BE49-F238E27FC236}">
              <a16:creationId xmlns:a16="http://schemas.microsoft.com/office/drawing/2014/main" id="{00000000-0008-0000-0000-00002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54" name="Immagine 553" descr="http://demaco.consob/ArchiflowWeb/images/indicator.gif">
          <a:extLst>
            <a:ext uri="{FF2B5EF4-FFF2-40B4-BE49-F238E27FC236}">
              <a16:creationId xmlns:a16="http://schemas.microsoft.com/office/drawing/2014/main" id="{00000000-0008-0000-0000-00002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55" name="Immagine 554" descr="http://demaco.consob/ArchiflowWeb/images/indicator.gif">
          <a:extLst>
            <a:ext uri="{FF2B5EF4-FFF2-40B4-BE49-F238E27FC236}">
              <a16:creationId xmlns:a16="http://schemas.microsoft.com/office/drawing/2014/main" id="{00000000-0008-0000-0000-00002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56" name="Immagine 555" descr="http://demaco.consob/ArchiflowWeb/images/indicator.gif">
          <a:extLst>
            <a:ext uri="{FF2B5EF4-FFF2-40B4-BE49-F238E27FC236}">
              <a16:creationId xmlns:a16="http://schemas.microsoft.com/office/drawing/2014/main" id="{00000000-0008-0000-0000-00002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57" name="Immagine 556" descr="http://demaco.consob/ArchiflowWeb/images/indicator.gif">
          <a:extLst>
            <a:ext uri="{FF2B5EF4-FFF2-40B4-BE49-F238E27FC236}">
              <a16:creationId xmlns:a16="http://schemas.microsoft.com/office/drawing/2014/main" id="{00000000-0008-0000-0000-00002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58" name="Immagine 557" descr="http://demaco.consob/ArchiflowWeb/images/indicator.gif">
          <a:extLst>
            <a:ext uri="{FF2B5EF4-FFF2-40B4-BE49-F238E27FC236}">
              <a16:creationId xmlns:a16="http://schemas.microsoft.com/office/drawing/2014/main" id="{00000000-0008-0000-0000-00002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59" name="Immagine 558" descr="http://demaco.consob/ArchiflowWeb/images/indicator.gif">
          <a:extLst>
            <a:ext uri="{FF2B5EF4-FFF2-40B4-BE49-F238E27FC236}">
              <a16:creationId xmlns:a16="http://schemas.microsoft.com/office/drawing/2014/main" id="{00000000-0008-0000-0000-00002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60" name="Immagine 559" descr="http://demaco.consob/ArchiflowWeb/images/indicator.gif">
          <a:extLst>
            <a:ext uri="{FF2B5EF4-FFF2-40B4-BE49-F238E27FC236}">
              <a16:creationId xmlns:a16="http://schemas.microsoft.com/office/drawing/2014/main" id="{00000000-0008-0000-0000-00003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61" name="Immagine 560" descr="http://demaco.consob/ArchiflowWeb/images/indicator.gif">
          <a:extLst>
            <a:ext uri="{FF2B5EF4-FFF2-40B4-BE49-F238E27FC236}">
              <a16:creationId xmlns:a16="http://schemas.microsoft.com/office/drawing/2014/main" id="{00000000-0008-0000-0000-00003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62" name="Immagine 561" descr="http://demaco.consob/ArchiflowWeb/images/indicator.gif">
          <a:extLst>
            <a:ext uri="{FF2B5EF4-FFF2-40B4-BE49-F238E27FC236}">
              <a16:creationId xmlns:a16="http://schemas.microsoft.com/office/drawing/2014/main" id="{00000000-0008-0000-0000-00003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63" name="Immagine 562" descr="http://demaco.consob/ArchiflowWeb/images/indicator.gif">
          <a:extLst>
            <a:ext uri="{FF2B5EF4-FFF2-40B4-BE49-F238E27FC236}">
              <a16:creationId xmlns:a16="http://schemas.microsoft.com/office/drawing/2014/main" id="{00000000-0008-0000-0000-00003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64" name="Immagine 563" descr="http://demaco.consob/ArchiflowWeb/images/indicator.gif">
          <a:extLst>
            <a:ext uri="{FF2B5EF4-FFF2-40B4-BE49-F238E27FC236}">
              <a16:creationId xmlns:a16="http://schemas.microsoft.com/office/drawing/2014/main" id="{00000000-0008-0000-0000-00003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65" name="Immagine 564" descr="http://demaco.consob/ArchiflowWeb/images/indicator.gif">
          <a:extLst>
            <a:ext uri="{FF2B5EF4-FFF2-40B4-BE49-F238E27FC236}">
              <a16:creationId xmlns:a16="http://schemas.microsoft.com/office/drawing/2014/main" id="{00000000-0008-0000-0000-00003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66" name="Immagine 565" descr="http://demaco.consob/ArchiflowWeb/images/indicator.gif">
          <a:extLst>
            <a:ext uri="{FF2B5EF4-FFF2-40B4-BE49-F238E27FC236}">
              <a16:creationId xmlns:a16="http://schemas.microsoft.com/office/drawing/2014/main" id="{00000000-0008-0000-0000-00003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67" name="Immagine 566" descr="http://demaco.consob/ArchiflowWeb/images/indicator.gif">
          <a:extLst>
            <a:ext uri="{FF2B5EF4-FFF2-40B4-BE49-F238E27FC236}">
              <a16:creationId xmlns:a16="http://schemas.microsoft.com/office/drawing/2014/main" id="{00000000-0008-0000-0000-00003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68" name="Immagine 567" descr="http://demaco.consob/ArchiflowWeb/images/indicator.gif">
          <a:extLst>
            <a:ext uri="{FF2B5EF4-FFF2-40B4-BE49-F238E27FC236}">
              <a16:creationId xmlns:a16="http://schemas.microsoft.com/office/drawing/2014/main" id="{00000000-0008-0000-0000-00003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69" name="Immagine 568" descr="http://demaco.consob/ArchiflowWeb/images/indicator.gif">
          <a:extLst>
            <a:ext uri="{FF2B5EF4-FFF2-40B4-BE49-F238E27FC236}">
              <a16:creationId xmlns:a16="http://schemas.microsoft.com/office/drawing/2014/main" id="{00000000-0008-0000-0000-00003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70" name="Immagine 569" descr="http://demaco.consob/ArchiflowWeb/images/indicator.gif">
          <a:extLst>
            <a:ext uri="{FF2B5EF4-FFF2-40B4-BE49-F238E27FC236}">
              <a16:creationId xmlns:a16="http://schemas.microsoft.com/office/drawing/2014/main" id="{00000000-0008-0000-0000-00003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71" name="Immagine 570" descr="http://demaco.consob/ArchiflowWeb/images/indicator.gif">
          <a:extLst>
            <a:ext uri="{FF2B5EF4-FFF2-40B4-BE49-F238E27FC236}">
              <a16:creationId xmlns:a16="http://schemas.microsoft.com/office/drawing/2014/main" id="{00000000-0008-0000-0000-00003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72" name="Immagine 571" descr="http://demaco.consob/ArchiflowWeb/images/indicator.gif">
          <a:extLst>
            <a:ext uri="{FF2B5EF4-FFF2-40B4-BE49-F238E27FC236}">
              <a16:creationId xmlns:a16="http://schemas.microsoft.com/office/drawing/2014/main" id="{00000000-0008-0000-0000-00003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73" name="Immagine 572" descr="http://demaco.consob/ArchiflowWeb/images/indicator.gif">
          <a:extLst>
            <a:ext uri="{FF2B5EF4-FFF2-40B4-BE49-F238E27FC236}">
              <a16:creationId xmlns:a16="http://schemas.microsoft.com/office/drawing/2014/main" id="{00000000-0008-0000-0000-00003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74" name="Immagine 573" descr="http://demaco.consob/ArchiflowWeb/images/indicator.gif">
          <a:extLst>
            <a:ext uri="{FF2B5EF4-FFF2-40B4-BE49-F238E27FC236}">
              <a16:creationId xmlns:a16="http://schemas.microsoft.com/office/drawing/2014/main" id="{00000000-0008-0000-0000-00003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75" name="Immagine 574" descr="http://demaco.consob/ArchiflowWeb/images/indicator.gif">
          <a:extLst>
            <a:ext uri="{FF2B5EF4-FFF2-40B4-BE49-F238E27FC236}">
              <a16:creationId xmlns:a16="http://schemas.microsoft.com/office/drawing/2014/main" id="{00000000-0008-0000-0000-00003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76" name="Immagine 575" descr="http://demaco.consob/ArchiflowWeb/images/indicator.gif">
          <a:extLst>
            <a:ext uri="{FF2B5EF4-FFF2-40B4-BE49-F238E27FC236}">
              <a16:creationId xmlns:a16="http://schemas.microsoft.com/office/drawing/2014/main" id="{00000000-0008-0000-0000-00004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77" name="Immagine 576" descr="http://demaco.consob/ArchiflowWeb/images/indicator.gif">
          <a:extLst>
            <a:ext uri="{FF2B5EF4-FFF2-40B4-BE49-F238E27FC236}">
              <a16:creationId xmlns:a16="http://schemas.microsoft.com/office/drawing/2014/main" id="{00000000-0008-0000-0000-00004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78" name="Immagine 577" descr="http://demaco.consob/ArchiflowWeb/images/indicator.gif">
          <a:extLst>
            <a:ext uri="{FF2B5EF4-FFF2-40B4-BE49-F238E27FC236}">
              <a16:creationId xmlns:a16="http://schemas.microsoft.com/office/drawing/2014/main" id="{00000000-0008-0000-0000-00004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79" name="Immagine 578" descr="http://demaco.consob/ArchiflowWeb/images/indicator.gif">
          <a:extLst>
            <a:ext uri="{FF2B5EF4-FFF2-40B4-BE49-F238E27FC236}">
              <a16:creationId xmlns:a16="http://schemas.microsoft.com/office/drawing/2014/main" id="{00000000-0008-0000-0000-00004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80" name="Immagine 579" descr="http://demaco.consob/ArchiflowWeb/images/indicator.gif">
          <a:extLst>
            <a:ext uri="{FF2B5EF4-FFF2-40B4-BE49-F238E27FC236}">
              <a16:creationId xmlns:a16="http://schemas.microsoft.com/office/drawing/2014/main" id="{00000000-0008-0000-0000-00004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81" name="Immagine 580" descr="http://demaco.consob/ArchiflowWeb/images/indicator.gif">
          <a:extLst>
            <a:ext uri="{FF2B5EF4-FFF2-40B4-BE49-F238E27FC236}">
              <a16:creationId xmlns:a16="http://schemas.microsoft.com/office/drawing/2014/main" id="{00000000-0008-0000-0000-00004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82" name="Immagine 581" descr="http://demaco.consob/ArchiflowWeb/images/indicator.gif">
          <a:extLst>
            <a:ext uri="{FF2B5EF4-FFF2-40B4-BE49-F238E27FC236}">
              <a16:creationId xmlns:a16="http://schemas.microsoft.com/office/drawing/2014/main" id="{00000000-0008-0000-0000-00004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83" name="Immagine 582" descr="http://demaco.consob/ArchiflowWeb/images/indicator.gif">
          <a:extLst>
            <a:ext uri="{FF2B5EF4-FFF2-40B4-BE49-F238E27FC236}">
              <a16:creationId xmlns:a16="http://schemas.microsoft.com/office/drawing/2014/main" id="{00000000-0008-0000-0000-00004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84" name="Immagine 583" descr="http://demaco.consob/ArchiflowWeb/images/indicator.gif">
          <a:extLst>
            <a:ext uri="{FF2B5EF4-FFF2-40B4-BE49-F238E27FC236}">
              <a16:creationId xmlns:a16="http://schemas.microsoft.com/office/drawing/2014/main" id="{00000000-0008-0000-0000-00004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85" name="Immagine 584" descr="http://demaco.consob/ArchiflowWeb/images/indicator.gif">
          <a:extLst>
            <a:ext uri="{FF2B5EF4-FFF2-40B4-BE49-F238E27FC236}">
              <a16:creationId xmlns:a16="http://schemas.microsoft.com/office/drawing/2014/main" id="{00000000-0008-0000-0000-00004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86" name="Immagine 585" descr="http://demaco.consob/ArchiflowWeb/images/indicator.gif">
          <a:extLst>
            <a:ext uri="{FF2B5EF4-FFF2-40B4-BE49-F238E27FC236}">
              <a16:creationId xmlns:a16="http://schemas.microsoft.com/office/drawing/2014/main" id="{00000000-0008-0000-0000-00004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87" name="Immagine 586" descr="http://demaco.consob/ArchiflowWeb/images/indicator.gif">
          <a:extLst>
            <a:ext uri="{FF2B5EF4-FFF2-40B4-BE49-F238E27FC236}">
              <a16:creationId xmlns:a16="http://schemas.microsoft.com/office/drawing/2014/main" id="{00000000-0008-0000-0000-00004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88" name="Immagine 587" descr="http://demaco.consob/ArchiflowWeb/images/indicator.gif">
          <a:extLst>
            <a:ext uri="{FF2B5EF4-FFF2-40B4-BE49-F238E27FC236}">
              <a16:creationId xmlns:a16="http://schemas.microsoft.com/office/drawing/2014/main" id="{00000000-0008-0000-0000-00004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89" name="Immagine 588" descr="http://demaco.consob/ArchiflowWeb/images/indicator.gif">
          <a:extLst>
            <a:ext uri="{FF2B5EF4-FFF2-40B4-BE49-F238E27FC236}">
              <a16:creationId xmlns:a16="http://schemas.microsoft.com/office/drawing/2014/main" id="{00000000-0008-0000-0000-00004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90" name="Immagine 589" descr="http://demaco.consob/ArchiflowWeb/images/indicator.gif">
          <a:extLst>
            <a:ext uri="{FF2B5EF4-FFF2-40B4-BE49-F238E27FC236}">
              <a16:creationId xmlns:a16="http://schemas.microsoft.com/office/drawing/2014/main" id="{00000000-0008-0000-0000-00004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91" name="Immagine 590" descr="http://demaco.consob/ArchiflowWeb/images/indicator.gif">
          <a:extLst>
            <a:ext uri="{FF2B5EF4-FFF2-40B4-BE49-F238E27FC236}">
              <a16:creationId xmlns:a16="http://schemas.microsoft.com/office/drawing/2014/main" id="{00000000-0008-0000-0000-00004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92" name="Immagine 591" descr="http://demaco.consob/ArchiflowWeb/images/indicator.gif">
          <a:extLst>
            <a:ext uri="{FF2B5EF4-FFF2-40B4-BE49-F238E27FC236}">
              <a16:creationId xmlns:a16="http://schemas.microsoft.com/office/drawing/2014/main" id="{00000000-0008-0000-0000-00005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93" name="Immagine 592" descr="http://demaco.consob/ArchiflowWeb/images/indicator.gif">
          <a:extLst>
            <a:ext uri="{FF2B5EF4-FFF2-40B4-BE49-F238E27FC236}">
              <a16:creationId xmlns:a16="http://schemas.microsoft.com/office/drawing/2014/main" id="{00000000-0008-0000-0000-00005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94" name="Immagine 593" descr="http://demaco.consob/ArchiflowWeb/images/indicator.gif">
          <a:extLst>
            <a:ext uri="{FF2B5EF4-FFF2-40B4-BE49-F238E27FC236}">
              <a16:creationId xmlns:a16="http://schemas.microsoft.com/office/drawing/2014/main" id="{00000000-0008-0000-0000-00005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95" name="Immagine 594" descr="http://demaco.consob/ArchiflowWeb/images/indicator.gif">
          <a:extLst>
            <a:ext uri="{FF2B5EF4-FFF2-40B4-BE49-F238E27FC236}">
              <a16:creationId xmlns:a16="http://schemas.microsoft.com/office/drawing/2014/main" id="{00000000-0008-0000-0000-00005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96" name="Immagine 595" descr="http://demaco.consob/ArchiflowWeb/images/indicator.gif">
          <a:extLst>
            <a:ext uri="{FF2B5EF4-FFF2-40B4-BE49-F238E27FC236}">
              <a16:creationId xmlns:a16="http://schemas.microsoft.com/office/drawing/2014/main" id="{00000000-0008-0000-0000-00005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97" name="Immagine 596" descr="http://demaco.consob/ArchiflowWeb/images/indicator.gif">
          <a:extLst>
            <a:ext uri="{FF2B5EF4-FFF2-40B4-BE49-F238E27FC236}">
              <a16:creationId xmlns:a16="http://schemas.microsoft.com/office/drawing/2014/main" id="{00000000-0008-0000-0000-00005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598" name="Immagine 597" descr="http://demaco.consob/ArchiflowWeb/images/indicator.gif">
          <a:extLst>
            <a:ext uri="{FF2B5EF4-FFF2-40B4-BE49-F238E27FC236}">
              <a16:creationId xmlns:a16="http://schemas.microsoft.com/office/drawing/2014/main" id="{00000000-0008-0000-0000-00005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599" name="Immagine 598" descr="http://demaco.consob/ArchiflowWeb/images/indicator.gif">
          <a:extLst>
            <a:ext uri="{FF2B5EF4-FFF2-40B4-BE49-F238E27FC236}">
              <a16:creationId xmlns:a16="http://schemas.microsoft.com/office/drawing/2014/main" id="{00000000-0008-0000-0000-00005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00" name="Immagine 599" descr="http://demaco.consob/ArchiflowWeb/images/indicator.gif">
          <a:extLst>
            <a:ext uri="{FF2B5EF4-FFF2-40B4-BE49-F238E27FC236}">
              <a16:creationId xmlns:a16="http://schemas.microsoft.com/office/drawing/2014/main" id="{00000000-0008-0000-0000-00005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01" name="Immagine 600" descr="http://demaco.consob/ArchiflowWeb/images/indicator.gif">
          <a:extLst>
            <a:ext uri="{FF2B5EF4-FFF2-40B4-BE49-F238E27FC236}">
              <a16:creationId xmlns:a16="http://schemas.microsoft.com/office/drawing/2014/main" id="{00000000-0008-0000-0000-00005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02" name="Immagine 601" descr="http://demaco.consob/ArchiflowWeb/images/indicator.gif">
          <a:extLst>
            <a:ext uri="{FF2B5EF4-FFF2-40B4-BE49-F238E27FC236}">
              <a16:creationId xmlns:a16="http://schemas.microsoft.com/office/drawing/2014/main" id="{00000000-0008-0000-0000-00005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03" name="Immagine 602" descr="http://demaco.consob/ArchiflowWeb/images/indicator.gif">
          <a:extLst>
            <a:ext uri="{FF2B5EF4-FFF2-40B4-BE49-F238E27FC236}">
              <a16:creationId xmlns:a16="http://schemas.microsoft.com/office/drawing/2014/main" id="{00000000-0008-0000-0000-00005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04" name="Immagine 603" descr="http://demaco.consob/ArchiflowWeb/images/indicator.gif">
          <a:extLst>
            <a:ext uri="{FF2B5EF4-FFF2-40B4-BE49-F238E27FC236}">
              <a16:creationId xmlns:a16="http://schemas.microsoft.com/office/drawing/2014/main" id="{00000000-0008-0000-0000-00005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05" name="Immagine 604" descr="http://demaco.consob/ArchiflowWeb/images/indicator.gif">
          <a:extLst>
            <a:ext uri="{FF2B5EF4-FFF2-40B4-BE49-F238E27FC236}">
              <a16:creationId xmlns:a16="http://schemas.microsoft.com/office/drawing/2014/main" id="{00000000-0008-0000-0000-00005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06" name="Immagine 605" descr="http://demaco.consob/ArchiflowWeb/images/indicator.gif">
          <a:extLst>
            <a:ext uri="{FF2B5EF4-FFF2-40B4-BE49-F238E27FC236}">
              <a16:creationId xmlns:a16="http://schemas.microsoft.com/office/drawing/2014/main" id="{00000000-0008-0000-0000-00005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07" name="Immagine 606" descr="http://demaco.consob/ArchiflowWeb/images/indicator.gif">
          <a:extLst>
            <a:ext uri="{FF2B5EF4-FFF2-40B4-BE49-F238E27FC236}">
              <a16:creationId xmlns:a16="http://schemas.microsoft.com/office/drawing/2014/main" id="{00000000-0008-0000-0000-00005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08" name="Immagine 607" descr="http://demaco.consob/ArchiflowWeb/images/indicator.gif">
          <a:extLst>
            <a:ext uri="{FF2B5EF4-FFF2-40B4-BE49-F238E27FC236}">
              <a16:creationId xmlns:a16="http://schemas.microsoft.com/office/drawing/2014/main" id="{00000000-0008-0000-0000-00006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09" name="Immagine 608" descr="http://demaco.consob/ArchiflowWeb/images/indicator.gif">
          <a:extLst>
            <a:ext uri="{FF2B5EF4-FFF2-40B4-BE49-F238E27FC236}">
              <a16:creationId xmlns:a16="http://schemas.microsoft.com/office/drawing/2014/main" id="{00000000-0008-0000-0000-00006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10" name="Immagine 609" descr="http://demaco.consob/ArchiflowWeb/images/indicator.gif">
          <a:extLst>
            <a:ext uri="{FF2B5EF4-FFF2-40B4-BE49-F238E27FC236}">
              <a16:creationId xmlns:a16="http://schemas.microsoft.com/office/drawing/2014/main" id="{00000000-0008-0000-0000-00006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11" name="Immagine 610" descr="http://demaco.consob/ArchiflowWeb/images/indicator.gif">
          <a:extLst>
            <a:ext uri="{FF2B5EF4-FFF2-40B4-BE49-F238E27FC236}">
              <a16:creationId xmlns:a16="http://schemas.microsoft.com/office/drawing/2014/main" id="{00000000-0008-0000-0000-00006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12" name="Immagine 611" descr="http://demaco.consob/ArchiflowWeb/images/indicator.gif">
          <a:extLst>
            <a:ext uri="{FF2B5EF4-FFF2-40B4-BE49-F238E27FC236}">
              <a16:creationId xmlns:a16="http://schemas.microsoft.com/office/drawing/2014/main" id="{00000000-0008-0000-0000-00006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13" name="Immagine 612" descr="http://demaco.consob/ArchiflowWeb/images/indicator.gif">
          <a:extLst>
            <a:ext uri="{FF2B5EF4-FFF2-40B4-BE49-F238E27FC236}">
              <a16:creationId xmlns:a16="http://schemas.microsoft.com/office/drawing/2014/main" id="{00000000-0008-0000-0000-00006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14" name="Immagine 613" descr="http://demaco.consob/ArchiflowWeb/images/indicator.gif">
          <a:extLst>
            <a:ext uri="{FF2B5EF4-FFF2-40B4-BE49-F238E27FC236}">
              <a16:creationId xmlns:a16="http://schemas.microsoft.com/office/drawing/2014/main" id="{00000000-0008-0000-0000-00006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15" name="Immagine 614" descr="http://demaco.consob/ArchiflowWeb/images/indicator.gif">
          <a:extLst>
            <a:ext uri="{FF2B5EF4-FFF2-40B4-BE49-F238E27FC236}">
              <a16:creationId xmlns:a16="http://schemas.microsoft.com/office/drawing/2014/main" id="{00000000-0008-0000-0000-00006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16" name="Immagine 615" descr="http://demaco.consob/ArchiflowWeb/images/indicator.gif">
          <a:extLst>
            <a:ext uri="{FF2B5EF4-FFF2-40B4-BE49-F238E27FC236}">
              <a16:creationId xmlns:a16="http://schemas.microsoft.com/office/drawing/2014/main" id="{00000000-0008-0000-0000-00006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17" name="Immagine 616" descr="http://demaco.consob/ArchiflowWeb/images/indicator.gif">
          <a:extLst>
            <a:ext uri="{FF2B5EF4-FFF2-40B4-BE49-F238E27FC236}">
              <a16:creationId xmlns:a16="http://schemas.microsoft.com/office/drawing/2014/main" id="{00000000-0008-0000-0000-00006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18" name="Immagine 617" descr="http://demaco.consob/ArchiflowWeb/images/indicator.gif">
          <a:extLst>
            <a:ext uri="{FF2B5EF4-FFF2-40B4-BE49-F238E27FC236}">
              <a16:creationId xmlns:a16="http://schemas.microsoft.com/office/drawing/2014/main" id="{00000000-0008-0000-0000-00006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19" name="Immagine 618" descr="http://demaco.consob/ArchiflowWeb/images/indicator.gif">
          <a:extLst>
            <a:ext uri="{FF2B5EF4-FFF2-40B4-BE49-F238E27FC236}">
              <a16:creationId xmlns:a16="http://schemas.microsoft.com/office/drawing/2014/main" id="{00000000-0008-0000-0000-00006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20" name="Immagine 619" descr="http://demaco.consob/ArchiflowWeb/images/indicator.gif">
          <a:extLst>
            <a:ext uri="{FF2B5EF4-FFF2-40B4-BE49-F238E27FC236}">
              <a16:creationId xmlns:a16="http://schemas.microsoft.com/office/drawing/2014/main" id="{00000000-0008-0000-0000-00006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21" name="Immagine 620" descr="http://demaco.consob/ArchiflowWeb/images/indicator.gif">
          <a:extLst>
            <a:ext uri="{FF2B5EF4-FFF2-40B4-BE49-F238E27FC236}">
              <a16:creationId xmlns:a16="http://schemas.microsoft.com/office/drawing/2014/main" id="{00000000-0008-0000-0000-00006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22" name="Immagine 621" descr="http://demaco.consob/ArchiflowWeb/images/indicator.gif">
          <a:extLst>
            <a:ext uri="{FF2B5EF4-FFF2-40B4-BE49-F238E27FC236}">
              <a16:creationId xmlns:a16="http://schemas.microsoft.com/office/drawing/2014/main" id="{00000000-0008-0000-0000-00006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23" name="Immagine 622" descr="http://demaco.consob/ArchiflowWeb/images/indicator.gif">
          <a:extLst>
            <a:ext uri="{FF2B5EF4-FFF2-40B4-BE49-F238E27FC236}">
              <a16:creationId xmlns:a16="http://schemas.microsoft.com/office/drawing/2014/main" id="{00000000-0008-0000-0000-00006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439</xdr:row>
      <xdr:rowOff>0</xdr:rowOff>
    </xdr:from>
    <xdr:to>
      <xdr:col>11</xdr:col>
      <xdr:colOff>152400</xdr:colOff>
      <xdr:row>439</xdr:row>
      <xdr:rowOff>152400</xdr:rowOff>
    </xdr:to>
    <xdr:pic>
      <xdr:nvPicPr>
        <xdr:cNvPr id="624" name="Immagine 623" descr="http://demaco.consob/ArchiflowWeb/images/indicator.gif">
          <a:extLst>
            <a:ext uri="{FF2B5EF4-FFF2-40B4-BE49-F238E27FC236}">
              <a16:creationId xmlns:a16="http://schemas.microsoft.com/office/drawing/2014/main" id="{00000000-0008-0000-0000-000070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439</xdr:row>
      <xdr:rowOff>0</xdr:rowOff>
    </xdr:from>
    <xdr:ext cx="152400" cy="152400"/>
    <xdr:pic>
      <xdr:nvPicPr>
        <xdr:cNvPr id="625" name="Immagine 624" descr="http://demaco.consob/ArchiflowWeb/images/indicator.gif">
          <a:extLst>
            <a:ext uri="{FF2B5EF4-FFF2-40B4-BE49-F238E27FC236}">
              <a16:creationId xmlns:a16="http://schemas.microsoft.com/office/drawing/2014/main" id="{00000000-0008-0000-0000-000071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26" name="Immagine 625" descr="http://demaco.consob/ArchiflowWeb/images/indicator.gif">
          <a:extLst>
            <a:ext uri="{FF2B5EF4-FFF2-40B4-BE49-F238E27FC236}">
              <a16:creationId xmlns:a16="http://schemas.microsoft.com/office/drawing/2014/main" id="{00000000-0008-0000-0000-000072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27" name="Immagine 626" descr="http://demaco.consob/ArchiflowWeb/images/indicator.gif">
          <a:extLst>
            <a:ext uri="{FF2B5EF4-FFF2-40B4-BE49-F238E27FC236}">
              <a16:creationId xmlns:a16="http://schemas.microsoft.com/office/drawing/2014/main" id="{00000000-0008-0000-0000-000073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28" name="Immagine 627" descr="http://demaco.consob/ArchiflowWeb/images/indicator.gif">
          <a:extLst>
            <a:ext uri="{FF2B5EF4-FFF2-40B4-BE49-F238E27FC236}">
              <a16:creationId xmlns:a16="http://schemas.microsoft.com/office/drawing/2014/main" id="{00000000-0008-0000-0000-000074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29" name="Immagine 628" descr="http://demaco.consob/ArchiflowWeb/images/indicator.gif">
          <a:extLst>
            <a:ext uri="{FF2B5EF4-FFF2-40B4-BE49-F238E27FC236}">
              <a16:creationId xmlns:a16="http://schemas.microsoft.com/office/drawing/2014/main" id="{00000000-0008-0000-0000-000075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07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30" name="Immagine 629" descr="http://demaco.consob/ArchiflowWeb/images/indicator.gif">
          <a:extLst>
            <a:ext uri="{FF2B5EF4-FFF2-40B4-BE49-F238E27FC236}">
              <a16:creationId xmlns:a16="http://schemas.microsoft.com/office/drawing/2014/main" id="{00000000-0008-0000-0000-00007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31" name="Immagine 630" descr="http://demaco.consob/ArchiflowWeb/images/indicator.gif">
          <a:extLst>
            <a:ext uri="{FF2B5EF4-FFF2-40B4-BE49-F238E27FC236}">
              <a16:creationId xmlns:a16="http://schemas.microsoft.com/office/drawing/2014/main" id="{00000000-0008-0000-0000-00007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32" name="Immagine 631" descr="http://demaco.consob/ArchiflowWeb/images/indicator.gif">
          <a:extLst>
            <a:ext uri="{FF2B5EF4-FFF2-40B4-BE49-F238E27FC236}">
              <a16:creationId xmlns:a16="http://schemas.microsoft.com/office/drawing/2014/main" id="{00000000-0008-0000-0000-00007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33" name="Immagine 632" descr="http://demaco.consob/ArchiflowWeb/images/indicator.gif">
          <a:extLst>
            <a:ext uri="{FF2B5EF4-FFF2-40B4-BE49-F238E27FC236}">
              <a16:creationId xmlns:a16="http://schemas.microsoft.com/office/drawing/2014/main" id="{00000000-0008-0000-0000-00007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34" name="Immagine 633" descr="http://demaco.consob/ArchiflowWeb/images/indicator.gif">
          <a:extLst>
            <a:ext uri="{FF2B5EF4-FFF2-40B4-BE49-F238E27FC236}">
              <a16:creationId xmlns:a16="http://schemas.microsoft.com/office/drawing/2014/main" id="{00000000-0008-0000-0000-00007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35" name="Immagine 634" descr="http://demaco.consob/ArchiflowWeb/images/indicator.gif">
          <a:extLst>
            <a:ext uri="{FF2B5EF4-FFF2-40B4-BE49-F238E27FC236}">
              <a16:creationId xmlns:a16="http://schemas.microsoft.com/office/drawing/2014/main" id="{00000000-0008-0000-0000-00007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36" name="Immagine 635" descr="http://demaco.consob/ArchiflowWeb/images/indicator.gif">
          <a:extLst>
            <a:ext uri="{FF2B5EF4-FFF2-40B4-BE49-F238E27FC236}">
              <a16:creationId xmlns:a16="http://schemas.microsoft.com/office/drawing/2014/main" id="{00000000-0008-0000-0000-00007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37" name="Immagine 636" descr="http://demaco.consob/ArchiflowWeb/images/indicator.gif">
          <a:extLst>
            <a:ext uri="{FF2B5EF4-FFF2-40B4-BE49-F238E27FC236}">
              <a16:creationId xmlns:a16="http://schemas.microsoft.com/office/drawing/2014/main" id="{00000000-0008-0000-0000-00007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38" name="Immagine 637" descr="http://demaco.consob/ArchiflowWeb/images/indicator.gif">
          <a:extLst>
            <a:ext uri="{FF2B5EF4-FFF2-40B4-BE49-F238E27FC236}">
              <a16:creationId xmlns:a16="http://schemas.microsoft.com/office/drawing/2014/main" id="{00000000-0008-0000-0000-00007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39" name="Immagine 638" descr="http://demaco.consob/ArchiflowWeb/images/indicator.gif">
          <a:extLst>
            <a:ext uri="{FF2B5EF4-FFF2-40B4-BE49-F238E27FC236}">
              <a16:creationId xmlns:a16="http://schemas.microsoft.com/office/drawing/2014/main" id="{00000000-0008-0000-0000-00007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40" name="Immagine 639" descr="http://demaco.consob/ArchiflowWeb/images/indicator.gif">
          <a:extLst>
            <a:ext uri="{FF2B5EF4-FFF2-40B4-BE49-F238E27FC236}">
              <a16:creationId xmlns:a16="http://schemas.microsoft.com/office/drawing/2014/main" id="{00000000-0008-0000-0000-00008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41" name="Immagine 640" descr="http://demaco.consob/ArchiflowWeb/images/indicator.gif">
          <a:extLst>
            <a:ext uri="{FF2B5EF4-FFF2-40B4-BE49-F238E27FC236}">
              <a16:creationId xmlns:a16="http://schemas.microsoft.com/office/drawing/2014/main" id="{00000000-0008-0000-0000-00008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42" name="Immagine 641" descr="http://demaco.consob/ArchiflowWeb/images/indicator.gif">
          <a:extLst>
            <a:ext uri="{FF2B5EF4-FFF2-40B4-BE49-F238E27FC236}">
              <a16:creationId xmlns:a16="http://schemas.microsoft.com/office/drawing/2014/main" id="{00000000-0008-0000-0000-00008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43" name="Immagine 642" descr="http://demaco.consob/ArchiflowWeb/images/indicator.gif">
          <a:extLst>
            <a:ext uri="{FF2B5EF4-FFF2-40B4-BE49-F238E27FC236}">
              <a16:creationId xmlns:a16="http://schemas.microsoft.com/office/drawing/2014/main" id="{00000000-0008-0000-0000-00008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44" name="Immagine 643" descr="http://demaco.consob/ArchiflowWeb/images/indicator.gif">
          <a:extLst>
            <a:ext uri="{FF2B5EF4-FFF2-40B4-BE49-F238E27FC236}">
              <a16:creationId xmlns:a16="http://schemas.microsoft.com/office/drawing/2014/main" id="{00000000-0008-0000-0000-00008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45" name="Immagine 644" descr="http://demaco.consob/ArchiflowWeb/images/indicator.gif">
          <a:extLst>
            <a:ext uri="{FF2B5EF4-FFF2-40B4-BE49-F238E27FC236}">
              <a16:creationId xmlns:a16="http://schemas.microsoft.com/office/drawing/2014/main" id="{00000000-0008-0000-0000-00008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46" name="Immagine 645" descr="http://demaco.consob/ArchiflowWeb/images/indicator.gif">
          <a:extLst>
            <a:ext uri="{FF2B5EF4-FFF2-40B4-BE49-F238E27FC236}">
              <a16:creationId xmlns:a16="http://schemas.microsoft.com/office/drawing/2014/main" id="{00000000-0008-0000-0000-00008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47" name="Immagine 646" descr="http://demaco.consob/ArchiflowWeb/images/indicator.gif">
          <a:extLst>
            <a:ext uri="{FF2B5EF4-FFF2-40B4-BE49-F238E27FC236}">
              <a16:creationId xmlns:a16="http://schemas.microsoft.com/office/drawing/2014/main" id="{00000000-0008-0000-0000-00008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48" name="Immagine 647" descr="http://demaco.consob/ArchiflowWeb/images/indicator.gif">
          <a:extLst>
            <a:ext uri="{FF2B5EF4-FFF2-40B4-BE49-F238E27FC236}">
              <a16:creationId xmlns:a16="http://schemas.microsoft.com/office/drawing/2014/main" id="{00000000-0008-0000-0000-00008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49" name="Immagine 648" descr="http://demaco.consob/ArchiflowWeb/images/indicator.gif">
          <a:extLst>
            <a:ext uri="{FF2B5EF4-FFF2-40B4-BE49-F238E27FC236}">
              <a16:creationId xmlns:a16="http://schemas.microsoft.com/office/drawing/2014/main" id="{00000000-0008-0000-0000-00008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50" name="Immagine 649" descr="http://demaco.consob/ArchiflowWeb/images/indicator.gif">
          <a:extLst>
            <a:ext uri="{FF2B5EF4-FFF2-40B4-BE49-F238E27FC236}">
              <a16:creationId xmlns:a16="http://schemas.microsoft.com/office/drawing/2014/main" id="{00000000-0008-0000-0000-00008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51" name="Immagine 650" descr="http://demaco.consob/ArchiflowWeb/images/indicator.gif">
          <a:extLst>
            <a:ext uri="{FF2B5EF4-FFF2-40B4-BE49-F238E27FC236}">
              <a16:creationId xmlns:a16="http://schemas.microsoft.com/office/drawing/2014/main" id="{00000000-0008-0000-0000-00008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52" name="Immagine 651" descr="http://demaco.consob/ArchiflowWeb/images/indicator.gif">
          <a:extLst>
            <a:ext uri="{FF2B5EF4-FFF2-40B4-BE49-F238E27FC236}">
              <a16:creationId xmlns:a16="http://schemas.microsoft.com/office/drawing/2014/main" id="{00000000-0008-0000-0000-00008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53" name="Immagine 652" descr="http://demaco.consob/ArchiflowWeb/images/indicator.gif">
          <a:extLst>
            <a:ext uri="{FF2B5EF4-FFF2-40B4-BE49-F238E27FC236}">
              <a16:creationId xmlns:a16="http://schemas.microsoft.com/office/drawing/2014/main" id="{00000000-0008-0000-0000-00008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54" name="Immagine 653" descr="http://demaco.consob/ArchiflowWeb/images/indicator.gif">
          <a:extLst>
            <a:ext uri="{FF2B5EF4-FFF2-40B4-BE49-F238E27FC236}">
              <a16:creationId xmlns:a16="http://schemas.microsoft.com/office/drawing/2014/main" id="{00000000-0008-0000-0000-00008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55" name="Immagine 654" descr="http://demaco.consob/ArchiflowWeb/images/indicator.gif">
          <a:extLst>
            <a:ext uri="{FF2B5EF4-FFF2-40B4-BE49-F238E27FC236}">
              <a16:creationId xmlns:a16="http://schemas.microsoft.com/office/drawing/2014/main" id="{00000000-0008-0000-0000-00008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56" name="Immagine 655" descr="http://demaco.consob/ArchiflowWeb/images/indicator.gif">
          <a:extLst>
            <a:ext uri="{FF2B5EF4-FFF2-40B4-BE49-F238E27FC236}">
              <a16:creationId xmlns:a16="http://schemas.microsoft.com/office/drawing/2014/main" id="{00000000-0008-0000-0000-00009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57" name="Immagine 656" descr="http://demaco.consob/ArchiflowWeb/images/indicator.gif">
          <a:extLst>
            <a:ext uri="{FF2B5EF4-FFF2-40B4-BE49-F238E27FC236}">
              <a16:creationId xmlns:a16="http://schemas.microsoft.com/office/drawing/2014/main" id="{00000000-0008-0000-0000-00009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58" name="Immagine 657" descr="http://demaco.consob/ArchiflowWeb/images/indicator.gif">
          <a:extLst>
            <a:ext uri="{FF2B5EF4-FFF2-40B4-BE49-F238E27FC236}">
              <a16:creationId xmlns:a16="http://schemas.microsoft.com/office/drawing/2014/main" id="{00000000-0008-0000-0000-00009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59" name="Immagine 658" descr="http://demaco.consob/ArchiflowWeb/images/indicator.gif">
          <a:extLst>
            <a:ext uri="{FF2B5EF4-FFF2-40B4-BE49-F238E27FC236}">
              <a16:creationId xmlns:a16="http://schemas.microsoft.com/office/drawing/2014/main" id="{00000000-0008-0000-0000-00009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60" name="Immagine 659" descr="http://demaco.consob/ArchiflowWeb/images/indicator.gif">
          <a:extLst>
            <a:ext uri="{FF2B5EF4-FFF2-40B4-BE49-F238E27FC236}">
              <a16:creationId xmlns:a16="http://schemas.microsoft.com/office/drawing/2014/main" id="{00000000-0008-0000-0000-00009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61" name="Immagine 660" descr="http://demaco.consob/ArchiflowWeb/images/indicator.gif">
          <a:extLst>
            <a:ext uri="{FF2B5EF4-FFF2-40B4-BE49-F238E27FC236}">
              <a16:creationId xmlns:a16="http://schemas.microsoft.com/office/drawing/2014/main" id="{00000000-0008-0000-0000-00009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62" name="Immagine 661" descr="http://demaco.consob/ArchiflowWeb/images/indicator.gif">
          <a:extLst>
            <a:ext uri="{FF2B5EF4-FFF2-40B4-BE49-F238E27FC236}">
              <a16:creationId xmlns:a16="http://schemas.microsoft.com/office/drawing/2014/main" id="{00000000-0008-0000-0000-00009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63" name="Immagine 662" descr="http://demaco.consob/ArchiflowWeb/images/indicator.gif">
          <a:extLst>
            <a:ext uri="{FF2B5EF4-FFF2-40B4-BE49-F238E27FC236}">
              <a16:creationId xmlns:a16="http://schemas.microsoft.com/office/drawing/2014/main" id="{00000000-0008-0000-0000-00009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64" name="Immagine 663" descr="http://demaco.consob/ArchiflowWeb/images/indicator.gif">
          <a:extLst>
            <a:ext uri="{FF2B5EF4-FFF2-40B4-BE49-F238E27FC236}">
              <a16:creationId xmlns:a16="http://schemas.microsoft.com/office/drawing/2014/main" id="{00000000-0008-0000-0000-00009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65" name="Immagine 664" descr="http://demaco.consob/ArchiflowWeb/images/indicator.gif">
          <a:extLst>
            <a:ext uri="{FF2B5EF4-FFF2-40B4-BE49-F238E27FC236}">
              <a16:creationId xmlns:a16="http://schemas.microsoft.com/office/drawing/2014/main" id="{00000000-0008-0000-0000-00009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66" name="Immagine 665" descr="http://demaco.consob/ArchiflowWeb/images/indicator.gif">
          <a:extLst>
            <a:ext uri="{FF2B5EF4-FFF2-40B4-BE49-F238E27FC236}">
              <a16:creationId xmlns:a16="http://schemas.microsoft.com/office/drawing/2014/main" id="{00000000-0008-0000-0000-00009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67" name="Immagine 666" descr="http://demaco.consob/ArchiflowWeb/images/indicator.gif">
          <a:extLst>
            <a:ext uri="{FF2B5EF4-FFF2-40B4-BE49-F238E27FC236}">
              <a16:creationId xmlns:a16="http://schemas.microsoft.com/office/drawing/2014/main" id="{00000000-0008-0000-0000-00009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68" name="Immagine 667" descr="http://demaco.consob/ArchiflowWeb/images/indicator.gif">
          <a:extLst>
            <a:ext uri="{FF2B5EF4-FFF2-40B4-BE49-F238E27FC236}">
              <a16:creationId xmlns:a16="http://schemas.microsoft.com/office/drawing/2014/main" id="{00000000-0008-0000-0000-00009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69" name="Immagine 668" descr="http://demaco.consob/ArchiflowWeb/images/indicator.gif">
          <a:extLst>
            <a:ext uri="{FF2B5EF4-FFF2-40B4-BE49-F238E27FC236}">
              <a16:creationId xmlns:a16="http://schemas.microsoft.com/office/drawing/2014/main" id="{00000000-0008-0000-0000-00009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70" name="Immagine 669" descr="http://demaco.consob/ArchiflowWeb/images/indicator.gif">
          <a:extLst>
            <a:ext uri="{FF2B5EF4-FFF2-40B4-BE49-F238E27FC236}">
              <a16:creationId xmlns:a16="http://schemas.microsoft.com/office/drawing/2014/main" id="{00000000-0008-0000-0000-00009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71" name="Immagine 670" descr="http://demaco.consob/ArchiflowWeb/images/indicator.gif">
          <a:extLst>
            <a:ext uri="{FF2B5EF4-FFF2-40B4-BE49-F238E27FC236}">
              <a16:creationId xmlns:a16="http://schemas.microsoft.com/office/drawing/2014/main" id="{00000000-0008-0000-0000-00009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72" name="Immagine 671" descr="http://demaco.consob/ArchiflowWeb/images/indicator.gif">
          <a:extLst>
            <a:ext uri="{FF2B5EF4-FFF2-40B4-BE49-F238E27FC236}">
              <a16:creationId xmlns:a16="http://schemas.microsoft.com/office/drawing/2014/main" id="{00000000-0008-0000-0000-0000A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73" name="Immagine 672" descr="http://demaco.consob/ArchiflowWeb/images/indicator.gif">
          <a:extLst>
            <a:ext uri="{FF2B5EF4-FFF2-40B4-BE49-F238E27FC236}">
              <a16:creationId xmlns:a16="http://schemas.microsoft.com/office/drawing/2014/main" id="{00000000-0008-0000-0000-0000A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74" name="Immagine 673" descr="http://demaco.consob/ArchiflowWeb/images/indicator.gif">
          <a:extLst>
            <a:ext uri="{FF2B5EF4-FFF2-40B4-BE49-F238E27FC236}">
              <a16:creationId xmlns:a16="http://schemas.microsoft.com/office/drawing/2014/main" id="{00000000-0008-0000-0000-0000A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75" name="Immagine 674" descr="http://demaco.consob/ArchiflowWeb/images/indicator.gif">
          <a:extLst>
            <a:ext uri="{FF2B5EF4-FFF2-40B4-BE49-F238E27FC236}">
              <a16:creationId xmlns:a16="http://schemas.microsoft.com/office/drawing/2014/main" id="{00000000-0008-0000-0000-0000A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76" name="Immagine 675" descr="http://demaco.consob/ArchiflowWeb/images/indicator.gif">
          <a:extLst>
            <a:ext uri="{FF2B5EF4-FFF2-40B4-BE49-F238E27FC236}">
              <a16:creationId xmlns:a16="http://schemas.microsoft.com/office/drawing/2014/main" id="{00000000-0008-0000-0000-0000A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77" name="Immagine 676" descr="http://demaco.consob/ArchiflowWeb/images/indicator.gif">
          <a:extLst>
            <a:ext uri="{FF2B5EF4-FFF2-40B4-BE49-F238E27FC236}">
              <a16:creationId xmlns:a16="http://schemas.microsoft.com/office/drawing/2014/main" id="{00000000-0008-0000-0000-0000A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78" name="Immagine 677" descr="http://demaco.consob/ArchiflowWeb/images/indicator.gif">
          <a:extLst>
            <a:ext uri="{FF2B5EF4-FFF2-40B4-BE49-F238E27FC236}">
              <a16:creationId xmlns:a16="http://schemas.microsoft.com/office/drawing/2014/main" id="{00000000-0008-0000-0000-0000A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79" name="Immagine 678" descr="http://demaco.consob/ArchiflowWeb/images/indicator.gif">
          <a:extLst>
            <a:ext uri="{FF2B5EF4-FFF2-40B4-BE49-F238E27FC236}">
              <a16:creationId xmlns:a16="http://schemas.microsoft.com/office/drawing/2014/main" id="{00000000-0008-0000-0000-0000A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80" name="Immagine 679" descr="http://demaco.consob/ArchiflowWeb/images/indicator.gif">
          <a:extLst>
            <a:ext uri="{FF2B5EF4-FFF2-40B4-BE49-F238E27FC236}">
              <a16:creationId xmlns:a16="http://schemas.microsoft.com/office/drawing/2014/main" id="{00000000-0008-0000-0000-0000A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81" name="Immagine 680" descr="http://demaco.consob/ArchiflowWeb/images/indicator.gif">
          <a:extLst>
            <a:ext uri="{FF2B5EF4-FFF2-40B4-BE49-F238E27FC236}">
              <a16:creationId xmlns:a16="http://schemas.microsoft.com/office/drawing/2014/main" id="{00000000-0008-0000-0000-0000A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82" name="Immagine 681" descr="http://demaco.consob/ArchiflowWeb/images/indicator.gif">
          <a:extLst>
            <a:ext uri="{FF2B5EF4-FFF2-40B4-BE49-F238E27FC236}">
              <a16:creationId xmlns:a16="http://schemas.microsoft.com/office/drawing/2014/main" id="{00000000-0008-0000-0000-0000A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83" name="Immagine 682" descr="http://demaco.consob/ArchiflowWeb/images/indicator.gif">
          <a:extLst>
            <a:ext uri="{FF2B5EF4-FFF2-40B4-BE49-F238E27FC236}">
              <a16:creationId xmlns:a16="http://schemas.microsoft.com/office/drawing/2014/main" id="{00000000-0008-0000-0000-0000A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84" name="Immagine 683" descr="http://demaco.consob/ArchiflowWeb/images/indicator.gif">
          <a:extLst>
            <a:ext uri="{FF2B5EF4-FFF2-40B4-BE49-F238E27FC236}">
              <a16:creationId xmlns:a16="http://schemas.microsoft.com/office/drawing/2014/main" id="{00000000-0008-0000-0000-0000A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85" name="Immagine 684" descr="http://demaco.consob/ArchiflowWeb/images/indicator.gif">
          <a:extLst>
            <a:ext uri="{FF2B5EF4-FFF2-40B4-BE49-F238E27FC236}">
              <a16:creationId xmlns:a16="http://schemas.microsoft.com/office/drawing/2014/main" id="{00000000-0008-0000-0000-0000A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86" name="Immagine 685" descr="http://demaco.consob/ArchiflowWeb/images/indicator.gif">
          <a:extLst>
            <a:ext uri="{FF2B5EF4-FFF2-40B4-BE49-F238E27FC236}">
              <a16:creationId xmlns:a16="http://schemas.microsoft.com/office/drawing/2014/main" id="{00000000-0008-0000-0000-0000A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87" name="Immagine 686" descr="http://demaco.consob/ArchiflowWeb/images/indicator.gif">
          <a:extLst>
            <a:ext uri="{FF2B5EF4-FFF2-40B4-BE49-F238E27FC236}">
              <a16:creationId xmlns:a16="http://schemas.microsoft.com/office/drawing/2014/main" id="{00000000-0008-0000-0000-0000A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88" name="Immagine 687" descr="http://demaco.consob/ArchiflowWeb/images/indicator.gif">
          <a:extLst>
            <a:ext uri="{FF2B5EF4-FFF2-40B4-BE49-F238E27FC236}">
              <a16:creationId xmlns:a16="http://schemas.microsoft.com/office/drawing/2014/main" id="{00000000-0008-0000-0000-0000B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89" name="Immagine 688" descr="http://demaco.consob/ArchiflowWeb/images/indicator.gif">
          <a:extLst>
            <a:ext uri="{FF2B5EF4-FFF2-40B4-BE49-F238E27FC236}">
              <a16:creationId xmlns:a16="http://schemas.microsoft.com/office/drawing/2014/main" id="{00000000-0008-0000-0000-0000B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90" name="Immagine 689" descr="http://demaco.consob/ArchiflowWeb/images/indicator.gif">
          <a:extLst>
            <a:ext uri="{FF2B5EF4-FFF2-40B4-BE49-F238E27FC236}">
              <a16:creationId xmlns:a16="http://schemas.microsoft.com/office/drawing/2014/main" id="{00000000-0008-0000-0000-0000B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91" name="Immagine 690" descr="http://demaco.consob/ArchiflowWeb/images/indicator.gif">
          <a:extLst>
            <a:ext uri="{FF2B5EF4-FFF2-40B4-BE49-F238E27FC236}">
              <a16:creationId xmlns:a16="http://schemas.microsoft.com/office/drawing/2014/main" id="{00000000-0008-0000-0000-0000B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92" name="Immagine 691" descr="http://demaco.consob/ArchiflowWeb/images/indicator.gif">
          <a:extLst>
            <a:ext uri="{FF2B5EF4-FFF2-40B4-BE49-F238E27FC236}">
              <a16:creationId xmlns:a16="http://schemas.microsoft.com/office/drawing/2014/main" id="{00000000-0008-0000-0000-0000B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93" name="Immagine 692" descr="http://demaco.consob/ArchiflowWeb/images/indicator.gif">
          <a:extLst>
            <a:ext uri="{FF2B5EF4-FFF2-40B4-BE49-F238E27FC236}">
              <a16:creationId xmlns:a16="http://schemas.microsoft.com/office/drawing/2014/main" id="{00000000-0008-0000-0000-0000B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94" name="Immagine 693" descr="http://demaco.consob/ArchiflowWeb/images/indicator.gif">
          <a:extLst>
            <a:ext uri="{FF2B5EF4-FFF2-40B4-BE49-F238E27FC236}">
              <a16:creationId xmlns:a16="http://schemas.microsoft.com/office/drawing/2014/main" id="{00000000-0008-0000-0000-0000B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95" name="Immagine 694" descr="http://demaco.consob/ArchiflowWeb/images/indicator.gif">
          <a:extLst>
            <a:ext uri="{FF2B5EF4-FFF2-40B4-BE49-F238E27FC236}">
              <a16:creationId xmlns:a16="http://schemas.microsoft.com/office/drawing/2014/main" id="{00000000-0008-0000-0000-0000B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96" name="Immagine 695" descr="http://demaco.consob/ArchiflowWeb/images/indicator.gif">
          <a:extLst>
            <a:ext uri="{FF2B5EF4-FFF2-40B4-BE49-F238E27FC236}">
              <a16:creationId xmlns:a16="http://schemas.microsoft.com/office/drawing/2014/main" id="{00000000-0008-0000-0000-0000B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97" name="Immagine 696" descr="http://demaco.consob/ArchiflowWeb/images/indicator.gif">
          <a:extLst>
            <a:ext uri="{FF2B5EF4-FFF2-40B4-BE49-F238E27FC236}">
              <a16:creationId xmlns:a16="http://schemas.microsoft.com/office/drawing/2014/main" id="{00000000-0008-0000-0000-0000B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698" name="Immagine 697" descr="http://demaco.consob/ArchiflowWeb/images/indicator.gif">
          <a:extLst>
            <a:ext uri="{FF2B5EF4-FFF2-40B4-BE49-F238E27FC236}">
              <a16:creationId xmlns:a16="http://schemas.microsoft.com/office/drawing/2014/main" id="{00000000-0008-0000-0000-0000B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699" name="Immagine 698" descr="http://demaco.consob/ArchiflowWeb/images/indicator.gif">
          <a:extLst>
            <a:ext uri="{FF2B5EF4-FFF2-40B4-BE49-F238E27FC236}">
              <a16:creationId xmlns:a16="http://schemas.microsoft.com/office/drawing/2014/main" id="{00000000-0008-0000-0000-0000B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0" name="Immagine 699" descr="http://demaco.consob/ArchiflowWeb/images/indicator.gif">
          <a:extLst>
            <a:ext uri="{FF2B5EF4-FFF2-40B4-BE49-F238E27FC236}">
              <a16:creationId xmlns:a16="http://schemas.microsoft.com/office/drawing/2014/main" id="{00000000-0008-0000-0000-0000B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01" name="Immagine 700" descr="http://demaco.consob/ArchiflowWeb/images/indicator.gif">
          <a:extLst>
            <a:ext uri="{FF2B5EF4-FFF2-40B4-BE49-F238E27FC236}">
              <a16:creationId xmlns:a16="http://schemas.microsoft.com/office/drawing/2014/main" id="{00000000-0008-0000-0000-0000B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2" name="Immagine 701" descr="http://demaco.consob/ArchiflowWeb/images/indicator.gif">
          <a:extLst>
            <a:ext uri="{FF2B5EF4-FFF2-40B4-BE49-F238E27FC236}">
              <a16:creationId xmlns:a16="http://schemas.microsoft.com/office/drawing/2014/main" id="{00000000-0008-0000-0000-0000B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03" name="Immagine 702" descr="http://demaco.consob/ArchiflowWeb/images/indicator.gif">
          <a:extLst>
            <a:ext uri="{FF2B5EF4-FFF2-40B4-BE49-F238E27FC236}">
              <a16:creationId xmlns:a16="http://schemas.microsoft.com/office/drawing/2014/main" id="{00000000-0008-0000-0000-0000B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4" name="Immagine 703" descr="http://demaco.consob/ArchiflowWeb/images/indicator.gif">
          <a:extLst>
            <a:ext uri="{FF2B5EF4-FFF2-40B4-BE49-F238E27FC236}">
              <a16:creationId xmlns:a16="http://schemas.microsoft.com/office/drawing/2014/main" id="{00000000-0008-0000-0000-0000C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05" name="Immagine 704" descr="http://demaco.consob/ArchiflowWeb/images/indicator.gif">
          <a:extLst>
            <a:ext uri="{FF2B5EF4-FFF2-40B4-BE49-F238E27FC236}">
              <a16:creationId xmlns:a16="http://schemas.microsoft.com/office/drawing/2014/main" id="{00000000-0008-0000-0000-0000C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6" name="Immagine 705" descr="http://demaco.consob/ArchiflowWeb/images/indicator.gif">
          <a:extLst>
            <a:ext uri="{FF2B5EF4-FFF2-40B4-BE49-F238E27FC236}">
              <a16:creationId xmlns:a16="http://schemas.microsoft.com/office/drawing/2014/main" id="{00000000-0008-0000-0000-0000C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07" name="Immagine 706" descr="http://demaco.consob/ArchiflowWeb/images/indicator.gif">
          <a:extLst>
            <a:ext uri="{FF2B5EF4-FFF2-40B4-BE49-F238E27FC236}">
              <a16:creationId xmlns:a16="http://schemas.microsoft.com/office/drawing/2014/main" id="{00000000-0008-0000-0000-0000C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8" name="Immagine 707" descr="http://demaco.consob/ArchiflowWeb/images/indicator.gif">
          <a:extLst>
            <a:ext uri="{FF2B5EF4-FFF2-40B4-BE49-F238E27FC236}">
              <a16:creationId xmlns:a16="http://schemas.microsoft.com/office/drawing/2014/main" id="{00000000-0008-0000-0000-0000C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09" name="Immagine 708" descr="http://demaco.consob/ArchiflowWeb/images/indicator.gif">
          <a:extLst>
            <a:ext uri="{FF2B5EF4-FFF2-40B4-BE49-F238E27FC236}">
              <a16:creationId xmlns:a16="http://schemas.microsoft.com/office/drawing/2014/main" id="{00000000-0008-0000-0000-0000C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0" name="Immagine 709" descr="http://demaco.consob/ArchiflowWeb/images/indicator.gif">
          <a:extLst>
            <a:ext uri="{FF2B5EF4-FFF2-40B4-BE49-F238E27FC236}">
              <a16:creationId xmlns:a16="http://schemas.microsoft.com/office/drawing/2014/main" id="{00000000-0008-0000-0000-0000C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1" name="Immagine 710" descr="http://demaco.consob/ArchiflowWeb/images/indicator.gif">
          <a:extLst>
            <a:ext uri="{FF2B5EF4-FFF2-40B4-BE49-F238E27FC236}">
              <a16:creationId xmlns:a16="http://schemas.microsoft.com/office/drawing/2014/main" id="{00000000-0008-0000-0000-0000C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2" name="Immagine 711" descr="http://demaco.consob/ArchiflowWeb/images/indicator.gif">
          <a:extLst>
            <a:ext uri="{FF2B5EF4-FFF2-40B4-BE49-F238E27FC236}">
              <a16:creationId xmlns:a16="http://schemas.microsoft.com/office/drawing/2014/main" id="{00000000-0008-0000-0000-0000C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3" name="Immagine 712" descr="http://demaco.consob/ArchiflowWeb/images/indicator.gif">
          <a:extLst>
            <a:ext uri="{FF2B5EF4-FFF2-40B4-BE49-F238E27FC236}">
              <a16:creationId xmlns:a16="http://schemas.microsoft.com/office/drawing/2014/main" id="{00000000-0008-0000-0000-0000C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4" name="Immagine 713" descr="http://demaco.consob/ArchiflowWeb/images/indicator.gif">
          <a:extLst>
            <a:ext uri="{FF2B5EF4-FFF2-40B4-BE49-F238E27FC236}">
              <a16:creationId xmlns:a16="http://schemas.microsoft.com/office/drawing/2014/main" id="{00000000-0008-0000-0000-0000C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5" name="Immagine 714" descr="http://demaco.consob/ArchiflowWeb/images/indicator.gif">
          <a:extLst>
            <a:ext uri="{FF2B5EF4-FFF2-40B4-BE49-F238E27FC236}">
              <a16:creationId xmlns:a16="http://schemas.microsoft.com/office/drawing/2014/main" id="{00000000-0008-0000-0000-0000C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6" name="Immagine 715" descr="http://demaco.consob/ArchiflowWeb/images/indicator.gif">
          <a:extLst>
            <a:ext uri="{FF2B5EF4-FFF2-40B4-BE49-F238E27FC236}">
              <a16:creationId xmlns:a16="http://schemas.microsoft.com/office/drawing/2014/main" id="{00000000-0008-0000-0000-0000C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7" name="Immagine 716" descr="http://demaco.consob/ArchiflowWeb/images/indicator.gif">
          <a:extLst>
            <a:ext uri="{FF2B5EF4-FFF2-40B4-BE49-F238E27FC236}">
              <a16:creationId xmlns:a16="http://schemas.microsoft.com/office/drawing/2014/main" id="{00000000-0008-0000-0000-0000C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8" name="Immagine 717" descr="http://demaco.consob/ArchiflowWeb/images/indicator.gif">
          <a:extLst>
            <a:ext uri="{FF2B5EF4-FFF2-40B4-BE49-F238E27FC236}">
              <a16:creationId xmlns:a16="http://schemas.microsoft.com/office/drawing/2014/main" id="{00000000-0008-0000-0000-0000C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19" name="Immagine 718" descr="http://demaco.consob/ArchiflowWeb/images/indicator.gif">
          <a:extLst>
            <a:ext uri="{FF2B5EF4-FFF2-40B4-BE49-F238E27FC236}">
              <a16:creationId xmlns:a16="http://schemas.microsoft.com/office/drawing/2014/main" id="{00000000-0008-0000-0000-0000C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0" name="Immagine 719" descr="http://demaco.consob/ArchiflowWeb/images/indicator.gif">
          <a:extLst>
            <a:ext uri="{FF2B5EF4-FFF2-40B4-BE49-F238E27FC236}">
              <a16:creationId xmlns:a16="http://schemas.microsoft.com/office/drawing/2014/main" id="{00000000-0008-0000-0000-0000D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1" name="Immagine 720" descr="http://demaco.consob/ArchiflowWeb/images/indicator.gif">
          <a:extLst>
            <a:ext uri="{FF2B5EF4-FFF2-40B4-BE49-F238E27FC236}">
              <a16:creationId xmlns:a16="http://schemas.microsoft.com/office/drawing/2014/main" id="{00000000-0008-0000-0000-0000D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2" name="Immagine 721" descr="http://demaco.consob/ArchiflowWeb/images/indicator.gif">
          <a:extLst>
            <a:ext uri="{FF2B5EF4-FFF2-40B4-BE49-F238E27FC236}">
              <a16:creationId xmlns:a16="http://schemas.microsoft.com/office/drawing/2014/main" id="{00000000-0008-0000-0000-0000D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3" name="Immagine 722" descr="http://demaco.consob/ArchiflowWeb/images/indicator.gif">
          <a:extLst>
            <a:ext uri="{FF2B5EF4-FFF2-40B4-BE49-F238E27FC236}">
              <a16:creationId xmlns:a16="http://schemas.microsoft.com/office/drawing/2014/main" id="{00000000-0008-0000-0000-0000D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4" name="Immagine 723" descr="http://demaco.consob/ArchiflowWeb/images/indicator.gif">
          <a:extLst>
            <a:ext uri="{FF2B5EF4-FFF2-40B4-BE49-F238E27FC236}">
              <a16:creationId xmlns:a16="http://schemas.microsoft.com/office/drawing/2014/main" id="{00000000-0008-0000-0000-0000D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5" name="Immagine 724" descr="http://demaco.consob/ArchiflowWeb/images/indicator.gif">
          <a:extLst>
            <a:ext uri="{FF2B5EF4-FFF2-40B4-BE49-F238E27FC236}">
              <a16:creationId xmlns:a16="http://schemas.microsoft.com/office/drawing/2014/main" id="{00000000-0008-0000-0000-0000D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6" name="Immagine 725" descr="http://demaco.consob/ArchiflowWeb/images/indicator.gif">
          <a:extLst>
            <a:ext uri="{FF2B5EF4-FFF2-40B4-BE49-F238E27FC236}">
              <a16:creationId xmlns:a16="http://schemas.microsoft.com/office/drawing/2014/main" id="{00000000-0008-0000-0000-0000D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27" name="Immagine 726" descr="http://demaco.consob/ArchiflowWeb/images/indicator.gif">
          <a:extLst>
            <a:ext uri="{FF2B5EF4-FFF2-40B4-BE49-F238E27FC236}">
              <a16:creationId xmlns:a16="http://schemas.microsoft.com/office/drawing/2014/main" id="{00000000-0008-0000-0000-0000D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28" name="Immagine 727" descr="http://demaco.consob/ArchiflowWeb/images/indicator.gif">
          <a:extLst>
            <a:ext uri="{FF2B5EF4-FFF2-40B4-BE49-F238E27FC236}">
              <a16:creationId xmlns:a16="http://schemas.microsoft.com/office/drawing/2014/main" id="{00000000-0008-0000-0000-0000D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29" name="Immagine 728" descr="http://demaco.consob/ArchiflowWeb/images/indicator.gif">
          <a:extLst>
            <a:ext uri="{FF2B5EF4-FFF2-40B4-BE49-F238E27FC236}">
              <a16:creationId xmlns:a16="http://schemas.microsoft.com/office/drawing/2014/main" id="{00000000-0008-0000-0000-0000D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30" name="Immagine 729" descr="http://demaco.consob/ArchiflowWeb/images/indicator.gif">
          <a:extLst>
            <a:ext uri="{FF2B5EF4-FFF2-40B4-BE49-F238E27FC236}">
              <a16:creationId xmlns:a16="http://schemas.microsoft.com/office/drawing/2014/main" id="{00000000-0008-0000-0000-0000D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31" name="Immagine 730" descr="http://demaco.consob/ArchiflowWeb/images/indicator.gif">
          <a:extLst>
            <a:ext uri="{FF2B5EF4-FFF2-40B4-BE49-F238E27FC236}">
              <a16:creationId xmlns:a16="http://schemas.microsoft.com/office/drawing/2014/main" id="{00000000-0008-0000-0000-0000D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32" name="Immagine 731" descr="http://demaco.consob/ArchiflowWeb/images/indicator.gif">
          <a:extLst>
            <a:ext uri="{FF2B5EF4-FFF2-40B4-BE49-F238E27FC236}">
              <a16:creationId xmlns:a16="http://schemas.microsoft.com/office/drawing/2014/main" id="{00000000-0008-0000-0000-0000D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33" name="Immagine 732" descr="http://demaco.consob/ArchiflowWeb/images/indicator.gif">
          <a:extLst>
            <a:ext uri="{FF2B5EF4-FFF2-40B4-BE49-F238E27FC236}">
              <a16:creationId xmlns:a16="http://schemas.microsoft.com/office/drawing/2014/main" id="{00000000-0008-0000-0000-0000D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34" name="Immagine 733" descr="http://demaco.consob/ArchiflowWeb/images/indicator.gif">
          <a:extLst>
            <a:ext uri="{FF2B5EF4-FFF2-40B4-BE49-F238E27FC236}">
              <a16:creationId xmlns:a16="http://schemas.microsoft.com/office/drawing/2014/main" id="{00000000-0008-0000-0000-0000D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35" name="Immagine 734" descr="http://demaco.consob/ArchiflowWeb/images/indicator.gif">
          <a:extLst>
            <a:ext uri="{FF2B5EF4-FFF2-40B4-BE49-F238E27FC236}">
              <a16:creationId xmlns:a16="http://schemas.microsoft.com/office/drawing/2014/main" id="{00000000-0008-0000-0000-0000D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36" name="Immagine 735" descr="http://demaco.consob/ArchiflowWeb/images/indicator.gif">
          <a:extLst>
            <a:ext uri="{FF2B5EF4-FFF2-40B4-BE49-F238E27FC236}">
              <a16:creationId xmlns:a16="http://schemas.microsoft.com/office/drawing/2014/main" id="{00000000-0008-0000-0000-0000E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37" name="Immagine 736" descr="http://demaco.consob/ArchiflowWeb/images/indicator.gif">
          <a:extLst>
            <a:ext uri="{FF2B5EF4-FFF2-40B4-BE49-F238E27FC236}">
              <a16:creationId xmlns:a16="http://schemas.microsoft.com/office/drawing/2014/main" id="{00000000-0008-0000-0000-0000E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38" name="Immagine 737" descr="http://demaco.consob/ArchiflowWeb/images/indicator.gif">
          <a:extLst>
            <a:ext uri="{FF2B5EF4-FFF2-40B4-BE49-F238E27FC236}">
              <a16:creationId xmlns:a16="http://schemas.microsoft.com/office/drawing/2014/main" id="{00000000-0008-0000-0000-0000E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39" name="Immagine 738" descr="http://demaco.consob/ArchiflowWeb/images/indicator.gif">
          <a:extLst>
            <a:ext uri="{FF2B5EF4-FFF2-40B4-BE49-F238E27FC236}">
              <a16:creationId xmlns:a16="http://schemas.microsoft.com/office/drawing/2014/main" id="{00000000-0008-0000-0000-0000E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40" name="Immagine 739" descr="http://demaco.consob/ArchiflowWeb/images/indicator.gif">
          <a:extLst>
            <a:ext uri="{FF2B5EF4-FFF2-40B4-BE49-F238E27FC236}">
              <a16:creationId xmlns:a16="http://schemas.microsoft.com/office/drawing/2014/main" id="{00000000-0008-0000-0000-0000E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41" name="Immagine 740" descr="http://demaco.consob/ArchiflowWeb/images/indicator.gif">
          <a:extLst>
            <a:ext uri="{FF2B5EF4-FFF2-40B4-BE49-F238E27FC236}">
              <a16:creationId xmlns:a16="http://schemas.microsoft.com/office/drawing/2014/main" id="{00000000-0008-0000-0000-0000E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42" name="Immagine 741" descr="http://demaco.consob/ArchiflowWeb/images/indicator.gif">
          <a:extLst>
            <a:ext uri="{FF2B5EF4-FFF2-40B4-BE49-F238E27FC236}">
              <a16:creationId xmlns:a16="http://schemas.microsoft.com/office/drawing/2014/main" id="{00000000-0008-0000-0000-0000E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43" name="Immagine 742" descr="http://demaco.consob/ArchiflowWeb/images/indicator.gif">
          <a:extLst>
            <a:ext uri="{FF2B5EF4-FFF2-40B4-BE49-F238E27FC236}">
              <a16:creationId xmlns:a16="http://schemas.microsoft.com/office/drawing/2014/main" id="{00000000-0008-0000-0000-0000E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44" name="Immagine 743" descr="http://demaco.consob/ArchiflowWeb/images/indicator.gif">
          <a:extLst>
            <a:ext uri="{FF2B5EF4-FFF2-40B4-BE49-F238E27FC236}">
              <a16:creationId xmlns:a16="http://schemas.microsoft.com/office/drawing/2014/main" id="{00000000-0008-0000-0000-0000E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45" name="Immagine 744" descr="http://demaco.consob/ArchiflowWeb/images/indicator.gif">
          <a:extLst>
            <a:ext uri="{FF2B5EF4-FFF2-40B4-BE49-F238E27FC236}">
              <a16:creationId xmlns:a16="http://schemas.microsoft.com/office/drawing/2014/main" id="{00000000-0008-0000-0000-0000E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46" name="Immagine 745" descr="http://demaco.consob/ArchiflowWeb/images/indicator.gif">
          <a:extLst>
            <a:ext uri="{FF2B5EF4-FFF2-40B4-BE49-F238E27FC236}">
              <a16:creationId xmlns:a16="http://schemas.microsoft.com/office/drawing/2014/main" id="{00000000-0008-0000-0000-0000E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47" name="Immagine 746" descr="http://demaco.consob/ArchiflowWeb/images/indicator.gif">
          <a:extLst>
            <a:ext uri="{FF2B5EF4-FFF2-40B4-BE49-F238E27FC236}">
              <a16:creationId xmlns:a16="http://schemas.microsoft.com/office/drawing/2014/main" id="{00000000-0008-0000-0000-0000E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48" name="Immagine 747" descr="http://demaco.consob/ArchiflowWeb/images/indicator.gif">
          <a:extLst>
            <a:ext uri="{FF2B5EF4-FFF2-40B4-BE49-F238E27FC236}">
              <a16:creationId xmlns:a16="http://schemas.microsoft.com/office/drawing/2014/main" id="{00000000-0008-0000-0000-0000E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49" name="Immagine 748" descr="http://demaco.consob/ArchiflowWeb/images/indicator.gif">
          <a:extLst>
            <a:ext uri="{FF2B5EF4-FFF2-40B4-BE49-F238E27FC236}">
              <a16:creationId xmlns:a16="http://schemas.microsoft.com/office/drawing/2014/main" id="{00000000-0008-0000-0000-0000E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50" name="Immagine 749" descr="http://demaco.consob/ArchiflowWeb/images/indicator.gif">
          <a:extLst>
            <a:ext uri="{FF2B5EF4-FFF2-40B4-BE49-F238E27FC236}">
              <a16:creationId xmlns:a16="http://schemas.microsoft.com/office/drawing/2014/main" id="{00000000-0008-0000-0000-0000E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51" name="Immagine 750" descr="http://demaco.consob/ArchiflowWeb/images/indicator.gif">
          <a:extLst>
            <a:ext uri="{FF2B5EF4-FFF2-40B4-BE49-F238E27FC236}">
              <a16:creationId xmlns:a16="http://schemas.microsoft.com/office/drawing/2014/main" id="{00000000-0008-0000-0000-0000E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52" name="Immagine 751" descr="http://demaco.consob/ArchiflowWeb/images/indicator.gif">
          <a:extLst>
            <a:ext uri="{FF2B5EF4-FFF2-40B4-BE49-F238E27FC236}">
              <a16:creationId xmlns:a16="http://schemas.microsoft.com/office/drawing/2014/main" id="{00000000-0008-0000-0000-0000F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53" name="Immagine 752" descr="http://demaco.consob/ArchiflowWeb/images/indicator.gif">
          <a:extLst>
            <a:ext uri="{FF2B5EF4-FFF2-40B4-BE49-F238E27FC236}">
              <a16:creationId xmlns:a16="http://schemas.microsoft.com/office/drawing/2014/main" id="{00000000-0008-0000-0000-0000F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54" name="Immagine 753" descr="http://demaco.consob/ArchiflowWeb/images/indicator.gif">
          <a:extLst>
            <a:ext uri="{FF2B5EF4-FFF2-40B4-BE49-F238E27FC236}">
              <a16:creationId xmlns:a16="http://schemas.microsoft.com/office/drawing/2014/main" id="{00000000-0008-0000-0000-0000F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55" name="Immagine 754" descr="http://demaco.consob/ArchiflowWeb/images/indicator.gif">
          <a:extLst>
            <a:ext uri="{FF2B5EF4-FFF2-40B4-BE49-F238E27FC236}">
              <a16:creationId xmlns:a16="http://schemas.microsoft.com/office/drawing/2014/main" id="{00000000-0008-0000-0000-0000F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56" name="Immagine 755" descr="http://demaco.consob/ArchiflowWeb/images/indicator.gif">
          <a:extLst>
            <a:ext uri="{FF2B5EF4-FFF2-40B4-BE49-F238E27FC236}">
              <a16:creationId xmlns:a16="http://schemas.microsoft.com/office/drawing/2014/main" id="{00000000-0008-0000-0000-0000F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57" name="Immagine 756" descr="http://demaco.consob/ArchiflowWeb/images/indicator.gif">
          <a:extLst>
            <a:ext uri="{FF2B5EF4-FFF2-40B4-BE49-F238E27FC236}">
              <a16:creationId xmlns:a16="http://schemas.microsoft.com/office/drawing/2014/main" id="{00000000-0008-0000-0000-0000F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58" name="Immagine 757" descr="http://demaco.consob/ArchiflowWeb/images/indicator.gif">
          <a:extLst>
            <a:ext uri="{FF2B5EF4-FFF2-40B4-BE49-F238E27FC236}">
              <a16:creationId xmlns:a16="http://schemas.microsoft.com/office/drawing/2014/main" id="{00000000-0008-0000-0000-0000F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59" name="Immagine 758" descr="http://demaco.consob/ArchiflowWeb/images/indicator.gif">
          <a:extLst>
            <a:ext uri="{FF2B5EF4-FFF2-40B4-BE49-F238E27FC236}">
              <a16:creationId xmlns:a16="http://schemas.microsoft.com/office/drawing/2014/main" id="{00000000-0008-0000-0000-0000F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0" name="Immagine 759" descr="http://demaco.consob/ArchiflowWeb/images/indicator.gif">
          <a:extLst>
            <a:ext uri="{FF2B5EF4-FFF2-40B4-BE49-F238E27FC236}">
              <a16:creationId xmlns:a16="http://schemas.microsoft.com/office/drawing/2014/main" id="{00000000-0008-0000-0000-0000F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61" name="Immagine 760" descr="http://demaco.consob/ArchiflowWeb/images/indicator.gif">
          <a:extLst>
            <a:ext uri="{FF2B5EF4-FFF2-40B4-BE49-F238E27FC236}">
              <a16:creationId xmlns:a16="http://schemas.microsoft.com/office/drawing/2014/main" id="{00000000-0008-0000-0000-0000F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2" name="Immagine 761" descr="http://demaco.consob/ArchiflowWeb/images/indicator.gif">
          <a:extLst>
            <a:ext uri="{FF2B5EF4-FFF2-40B4-BE49-F238E27FC236}">
              <a16:creationId xmlns:a16="http://schemas.microsoft.com/office/drawing/2014/main" id="{00000000-0008-0000-0000-0000F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3" name="Immagine 762" descr="http://demaco.consob/ArchiflowWeb/images/indicator.gif">
          <a:extLst>
            <a:ext uri="{FF2B5EF4-FFF2-40B4-BE49-F238E27FC236}">
              <a16:creationId xmlns:a16="http://schemas.microsoft.com/office/drawing/2014/main" id="{00000000-0008-0000-0000-0000F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4" name="Immagine 763" descr="http://demaco.consob/ArchiflowWeb/images/indicator.gif">
          <a:extLst>
            <a:ext uri="{FF2B5EF4-FFF2-40B4-BE49-F238E27FC236}">
              <a16:creationId xmlns:a16="http://schemas.microsoft.com/office/drawing/2014/main" id="{00000000-0008-0000-0000-0000F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5" name="Immagine 764" descr="http://demaco.consob/ArchiflowWeb/images/indicator.gif">
          <a:extLst>
            <a:ext uri="{FF2B5EF4-FFF2-40B4-BE49-F238E27FC236}">
              <a16:creationId xmlns:a16="http://schemas.microsoft.com/office/drawing/2014/main" id="{00000000-0008-0000-0000-0000F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6" name="Immagine 765" descr="http://demaco.consob/ArchiflowWeb/images/indicator.gif">
          <a:extLst>
            <a:ext uri="{FF2B5EF4-FFF2-40B4-BE49-F238E27FC236}">
              <a16:creationId xmlns:a16="http://schemas.microsoft.com/office/drawing/2014/main" id="{00000000-0008-0000-0000-0000F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7" name="Immagine 766" descr="http://demaco.consob/ArchiflowWeb/images/indicator.gif">
          <a:extLst>
            <a:ext uri="{FF2B5EF4-FFF2-40B4-BE49-F238E27FC236}">
              <a16:creationId xmlns:a16="http://schemas.microsoft.com/office/drawing/2014/main" id="{00000000-0008-0000-0000-0000F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8" name="Immagine 767" descr="http://demaco.consob/ArchiflowWeb/images/indicator.gif">
          <a:extLst>
            <a:ext uri="{FF2B5EF4-FFF2-40B4-BE49-F238E27FC236}">
              <a16:creationId xmlns:a16="http://schemas.microsoft.com/office/drawing/2014/main" id="{00000000-0008-0000-0000-00000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69" name="Immagine 768" descr="http://demaco.consob/ArchiflowWeb/images/indicator.gif">
          <a:extLst>
            <a:ext uri="{FF2B5EF4-FFF2-40B4-BE49-F238E27FC236}">
              <a16:creationId xmlns:a16="http://schemas.microsoft.com/office/drawing/2014/main" id="{00000000-0008-0000-0000-00000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0" name="Immagine 769" descr="http://demaco.consob/ArchiflowWeb/images/indicator.gif">
          <a:extLst>
            <a:ext uri="{FF2B5EF4-FFF2-40B4-BE49-F238E27FC236}">
              <a16:creationId xmlns:a16="http://schemas.microsoft.com/office/drawing/2014/main" id="{00000000-0008-0000-0000-00000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1" name="Immagine 770" descr="http://demaco.consob/ArchiflowWeb/images/indicator.gif">
          <a:extLst>
            <a:ext uri="{FF2B5EF4-FFF2-40B4-BE49-F238E27FC236}">
              <a16:creationId xmlns:a16="http://schemas.microsoft.com/office/drawing/2014/main" id="{00000000-0008-0000-0000-00000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2" name="Immagine 771" descr="http://demaco.consob/ArchiflowWeb/images/indicator.gif">
          <a:extLst>
            <a:ext uri="{FF2B5EF4-FFF2-40B4-BE49-F238E27FC236}">
              <a16:creationId xmlns:a16="http://schemas.microsoft.com/office/drawing/2014/main" id="{00000000-0008-0000-0000-00000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3" name="Immagine 772" descr="http://demaco.consob/ArchiflowWeb/images/indicator.gif">
          <a:extLst>
            <a:ext uri="{FF2B5EF4-FFF2-40B4-BE49-F238E27FC236}">
              <a16:creationId xmlns:a16="http://schemas.microsoft.com/office/drawing/2014/main" id="{00000000-0008-0000-0000-00000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4" name="Immagine 773" descr="http://demaco.consob/ArchiflowWeb/images/indicator.gif">
          <a:extLst>
            <a:ext uri="{FF2B5EF4-FFF2-40B4-BE49-F238E27FC236}">
              <a16:creationId xmlns:a16="http://schemas.microsoft.com/office/drawing/2014/main" id="{00000000-0008-0000-0000-00000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5" name="Immagine 774" descr="http://demaco.consob/ArchiflowWeb/images/indicator.gif">
          <a:extLst>
            <a:ext uri="{FF2B5EF4-FFF2-40B4-BE49-F238E27FC236}">
              <a16:creationId xmlns:a16="http://schemas.microsoft.com/office/drawing/2014/main" id="{00000000-0008-0000-0000-00000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6" name="Immagine 775" descr="http://demaco.consob/ArchiflowWeb/images/indicator.gif">
          <a:extLst>
            <a:ext uri="{FF2B5EF4-FFF2-40B4-BE49-F238E27FC236}">
              <a16:creationId xmlns:a16="http://schemas.microsoft.com/office/drawing/2014/main" id="{00000000-0008-0000-0000-00000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7" name="Immagine 776" descr="http://demaco.consob/ArchiflowWeb/images/indicator.gif">
          <a:extLst>
            <a:ext uri="{FF2B5EF4-FFF2-40B4-BE49-F238E27FC236}">
              <a16:creationId xmlns:a16="http://schemas.microsoft.com/office/drawing/2014/main" id="{00000000-0008-0000-0000-00000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8" name="Immagine 777" descr="http://demaco.consob/ArchiflowWeb/images/indicator.gif">
          <a:extLst>
            <a:ext uri="{FF2B5EF4-FFF2-40B4-BE49-F238E27FC236}">
              <a16:creationId xmlns:a16="http://schemas.microsoft.com/office/drawing/2014/main" id="{00000000-0008-0000-0000-00000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79" name="Immagine 778" descr="http://demaco.consob/ArchiflowWeb/images/indicator.gif">
          <a:extLst>
            <a:ext uri="{FF2B5EF4-FFF2-40B4-BE49-F238E27FC236}">
              <a16:creationId xmlns:a16="http://schemas.microsoft.com/office/drawing/2014/main" id="{00000000-0008-0000-0000-00000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80" name="Immagine 779" descr="http://demaco.consob/ArchiflowWeb/images/indicator.gif">
          <a:extLst>
            <a:ext uri="{FF2B5EF4-FFF2-40B4-BE49-F238E27FC236}">
              <a16:creationId xmlns:a16="http://schemas.microsoft.com/office/drawing/2014/main" id="{00000000-0008-0000-0000-00000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81" name="Immagine 780" descr="http://demaco.consob/ArchiflowWeb/images/indicator.gif">
          <a:extLst>
            <a:ext uri="{FF2B5EF4-FFF2-40B4-BE49-F238E27FC236}">
              <a16:creationId xmlns:a16="http://schemas.microsoft.com/office/drawing/2014/main" id="{00000000-0008-0000-0000-00000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82" name="Immagine 781" descr="http://demaco.consob/ArchiflowWeb/images/indicator.gif">
          <a:extLst>
            <a:ext uri="{FF2B5EF4-FFF2-40B4-BE49-F238E27FC236}">
              <a16:creationId xmlns:a16="http://schemas.microsoft.com/office/drawing/2014/main" id="{00000000-0008-0000-0000-00000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83" name="Immagine 782" descr="http://demaco.consob/ArchiflowWeb/images/indicator.gif">
          <a:extLst>
            <a:ext uri="{FF2B5EF4-FFF2-40B4-BE49-F238E27FC236}">
              <a16:creationId xmlns:a16="http://schemas.microsoft.com/office/drawing/2014/main" id="{00000000-0008-0000-0000-00000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84" name="Immagine 783" descr="http://demaco.consob/ArchiflowWeb/images/indicator.gif">
          <a:extLst>
            <a:ext uri="{FF2B5EF4-FFF2-40B4-BE49-F238E27FC236}">
              <a16:creationId xmlns:a16="http://schemas.microsoft.com/office/drawing/2014/main" id="{00000000-0008-0000-0000-00001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85" name="Immagine 784" descr="http://demaco.consob/ArchiflowWeb/images/indicator.gif">
          <a:extLst>
            <a:ext uri="{FF2B5EF4-FFF2-40B4-BE49-F238E27FC236}">
              <a16:creationId xmlns:a16="http://schemas.microsoft.com/office/drawing/2014/main" id="{00000000-0008-0000-0000-00001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86" name="Immagine 785" descr="http://demaco.consob/ArchiflowWeb/images/indicator.gif">
          <a:extLst>
            <a:ext uri="{FF2B5EF4-FFF2-40B4-BE49-F238E27FC236}">
              <a16:creationId xmlns:a16="http://schemas.microsoft.com/office/drawing/2014/main" id="{00000000-0008-0000-0000-00001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87" name="Immagine 786" descr="http://demaco.consob/ArchiflowWeb/images/indicator.gif">
          <a:extLst>
            <a:ext uri="{FF2B5EF4-FFF2-40B4-BE49-F238E27FC236}">
              <a16:creationId xmlns:a16="http://schemas.microsoft.com/office/drawing/2014/main" id="{00000000-0008-0000-0000-00001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88" name="Immagine 787" descr="http://demaco.consob/ArchiflowWeb/images/indicator.gif">
          <a:extLst>
            <a:ext uri="{FF2B5EF4-FFF2-40B4-BE49-F238E27FC236}">
              <a16:creationId xmlns:a16="http://schemas.microsoft.com/office/drawing/2014/main" id="{00000000-0008-0000-0000-00001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89" name="Immagine 788" descr="http://demaco.consob/ArchiflowWeb/images/indicator.gif">
          <a:extLst>
            <a:ext uri="{FF2B5EF4-FFF2-40B4-BE49-F238E27FC236}">
              <a16:creationId xmlns:a16="http://schemas.microsoft.com/office/drawing/2014/main" id="{00000000-0008-0000-0000-00001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90" name="Immagine 789" descr="http://demaco.consob/ArchiflowWeb/images/indicator.gif">
          <a:extLst>
            <a:ext uri="{FF2B5EF4-FFF2-40B4-BE49-F238E27FC236}">
              <a16:creationId xmlns:a16="http://schemas.microsoft.com/office/drawing/2014/main" id="{00000000-0008-0000-0000-00001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91" name="Immagine 790" descr="http://demaco.consob/ArchiflowWeb/images/indicator.gif">
          <a:extLst>
            <a:ext uri="{FF2B5EF4-FFF2-40B4-BE49-F238E27FC236}">
              <a16:creationId xmlns:a16="http://schemas.microsoft.com/office/drawing/2014/main" id="{00000000-0008-0000-0000-00001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92" name="Immagine 791" descr="http://demaco.consob/ArchiflowWeb/images/indicator.gif">
          <a:extLst>
            <a:ext uri="{FF2B5EF4-FFF2-40B4-BE49-F238E27FC236}">
              <a16:creationId xmlns:a16="http://schemas.microsoft.com/office/drawing/2014/main" id="{00000000-0008-0000-0000-00001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93" name="Immagine 792" descr="http://demaco.consob/ArchiflowWeb/images/indicator.gif">
          <a:extLst>
            <a:ext uri="{FF2B5EF4-FFF2-40B4-BE49-F238E27FC236}">
              <a16:creationId xmlns:a16="http://schemas.microsoft.com/office/drawing/2014/main" id="{00000000-0008-0000-0000-00001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94" name="Immagine 793" descr="http://demaco.consob/ArchiflowWeb/images/indicator.gif">
          <a:extLst>
            <a:ext uri="{FF2B5EF4-FFF2-40B4-BE49-F238E27FC236}">
              <a16:creationId xmlns:a16="http://schemas.microsoft.com/office/drawing/2014/main" id="{00000000-0008-0000-0000-00001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95" name="Immagine 794" descr="http://demaco.consob/ArchiflowWeb/images/indicator.gif">
          <a:extLst>
            <a:ext uri="{FF2B5EF4-FFF2-40B4-BE49-F238E27FC236}">
              <a16:creationId xmlns:a16="http://schemas.microsoft.com/office/drawing/2014/main" id="{00000000-0008-0000-0000-00001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96" name="Immagine 795" descr="http://demaco.consob/ArchiflowWeb/images/indicator.gif">
          <a:extLst>
            <a:ext uri="{FF2B5EF4-FFF2-40B4-BE49-F238E27FC236}">
              <a16:creationId xmlns:a16="http://schemas.microsoft.com/office/drawing/2014/main" id="{00000000-0008-0000-0000-00001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97" name="Immagine 796" descr="http://demaco.consob/ArchiflowWeb/images/indicator.gif">
          <a:extLst>
            <a:ext uri="{FF2B5EF4-FFF2-40B4-BE49-F238E27FC236}">
              <a16:creationId xmlns:a16="http://schemas.microsoft.com/office/drawing/2014/main" id="{00000000-0008-0000-0000-00001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798" name="Immagine 797" descr="http://demaco.consob/ArchiflowWeb/images/indicator.gif">
          <a:extLst>
            <a:ext uri="{FF2B5EF4-FFF2-40B4-BE49-F238E27FC236}">
              <a16:creationId xmlns:a16="http://schemas.microsoft.com/office/drawing/2014/main" id="{00000000-0008-0000-0000-00001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799" name="Immagine 798" descr="http://demaco.consob/ArchiflowWeb/images/indicator.gif">
          <a:extLst>
            <a:ext uri="{FF2B5EF4-FFF2-40B4-BE49-F238E27FC236}">
              <a16:creationId xmlns:a16="http://schemas.microsoft.com/office/drawing/2014/main" id="{00000000-0008-0000-0000-00001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00" name="Immagine 799" descr="http://demaco.consob/ArchiflowWeb/images/indicator.gif">
          <a:extLst>
            <a:ext uri="{FF2B5EF4-FFF2-40B4-BE49-F238E27FC236}">
              <a16:creationId xmlns:a16="http://schemas.microsoft.com/office/drawing/2014/main" id="{00000000-0008-0000-0000-00002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01" name="Immagine 800" descr="http://demaco.consob/ArchiflowWeb/images/indicator.gif">
          <a:extLst>
            <a:ext uri="{FF2B5EF4-FFF2-40B4-BE49-F238E27FC236}">
              <a16:creationId xmlns:a16="http://schemas.microsoft.com/office/drawing/2014/main" id="{00000000-0008-0000-0000-00002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02" name="Immagine 801" descr="http://demaco.consob/ArchiflowWeb/images/indicator.gif">
          <a:extLst>
            <a:ext uri="{FF2B5EF4-FFF2-40B4-BE49-F238E27FC236}">
              <a16:creationId xmlns:a16="http://schemas.microsoft.com/office/drawing/2014/main" id="{00000000-0008-0000-0000-00002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03" name="Immagine 802" descr="http://demaco.consob/ArchiflowWeb/images/indicator.gif">
          <a:extLst>
            <a:ext uri="{FF2B5EF4-FFF2-40B4-BE49-F238E27FC236}">
              <a16:creationId xmlns:a16="http://schemas.microsoft.com/office/drawing/2014/main" id="{00000000-0008-0000-0000-00002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04" name="Immagine 803" descr="http://demaco.consob/ArchiflowWeb/images/indicator.gif">
          <a:extLst>
            <a:ext uri="{FF2B5EF4-FFF2-40B4-BE49-F238E27FC236}">
              <a16:creationId xmlns:a16="http://schemas.microsoft.com/office/drawing/2014/main" id="{00000000-0008-0000-0000-00002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05" name="Immagine 804" descr="http://demaco.consob/ArchiflowWeb/images/indicator.gif">
          <a:extLst>
            <a:ext uri="{FF2B5EF4-FFF2-40B4-BE49-F238E27FC236}">
              <a16:creationId xmlns:a16="http://schemas.microsoft.com/office/drawing/2014/main" id="{00000000-0008-0000-0000-00002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06" name="Immagine 805" descr="http://demaco.consob/ArchiflowWeb/images/indicator.gif">
          <a:extLst>
            <a:ext uri="{FF2B5EF4-FFF2-40B4-BE49-F238E27FC236}">
              <a16:creationId xmlns:a16="http://schemas.microsoft.com/office/drawing/2014/main" id="{00000000-0008-0000-0000-00002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07" name="Immagine 806" descr="http://demaco.consob/ArchiflowWeb/images/indicator.gif">
          <a:extLst>
            <a:ext uri="{FF2B5EF4-FFF2-40B4-BE49-F238E27FC236}">
              <a16:creationId xmlns:a16="http://schemas.microsoft.com/office/drawing/2014/main" id="{00000000-0008-0000-0000-00002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08" name="Immagine 807" descr="http://demaco.consob/ArchiflowWeb/images/indicator.gif">
          <a:extLst>
            <a:ext uri="{FF2B5EF4-FFF2-40B4-BE49-F238E27FC236}">
              <a16:creationId xmlns:a16="http://schemas.microsoft.com/office/drawing/2014/main" id="{00000000-0008-0000-0000-00002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09" name="Immagine 808" descr="http://demaco.consob/ArchiflowWeb/images/indicator.gif">
          <a:extLst>
            <a:ext uri="{FF2B5EF4-FFF2-40B4-BE49-F238E27FC236}">
              <a16:creationId xmlns:a16="http://schemas.microsoft.com/office/drawing/2014/main" id="{00000000-0008-0000-0000-00002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10" name="Immagine 809" descr="http://demaco.consob/ArchiflowWeb/images/indicator.gif">
          <a:extLst>
            <a:ext uri="{FF2B5EF4-FFF2-40B4-BE49-F238E27FC236}">
              <a16:creationId xmlns:a16="http://schemas.microsoft.com/office/drawing/2014/main" id="{00000000-0008-0000-0000-00002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11" name="Immagine 810" descr="http://demaco.consob/ArchiflowWeb/images/indicator.gif">
          <a:extLst>
            <a:ext uri="{FF2B5EF4-FFF2-40B4-BE49-F238E27FC236}">
              <a16:creationId xmlns:a16="http://schemas.microsoft.com/office/drawing/2014/main" id="{00000000-0008-0000-0000-00002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12" name="Immagine 811" descr="http://demaco.consob/ArchiflowWeb/images/indicator.gif">
          <a:extLst>
            <a:ext uri="{FF2B5EF4-FFF2-40B4-BE49-F238E27FC236}">
              <a16:creationId xmlns:a16="http://schemas.microsoft.com/office/drawing/2014/main" id="{00000000-0008-0000-0000-00002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13" name="Immagine 812" descr="http://demaco.consob/ArchiflowWeb/images/indicator.gif">
          <a:extLst>
            <a:ext uri="{FF2B5EF4-FFF2-40B4-BE49-F238E27FC236}">
              <a16:creationId xmlns:a16="http://schemas.microsoft.com/office/drawing/2014/main" id="{00000000-0008-0000-0000-00002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14" name="Immagine 813" descr="http://demaco.consob/ArchiflowWeb/images/indicator.gif">
          <a:extLst>
            <a:ext uri="{FF2B5EF4-FFF2-40B4-BE49-F238E27FC236}">
              <a16:creationId xmlns:a16="http://schemas.microsoft.com/office/drawing/2014/main" id="{00000000-0008-0000-0000-00002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15" name="Immagine 814" descr="http://demaco.consob/ArchiflowWeb/images/indicator.gif">
          <a:extLst>
            <a:ext uri="{FF2B5EF4-FFF2-40B4-BE49-F238E27FC236}">
              <a16:creationId xmlns:a16="http://schemas.microsoft.com/office/drawing/2014/main" id="{00000000-0008-0000-0000-00002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16" name="Immagine 815" descr="http://demaco.consob/ArchiflowWeb/images/indicator.gif">
          <a:extLst>
            <a:ext uri="{FF2B5EF4-FFF2-40B4-BE49-F238E27FC236}">
              <a16:creationId xmlns:a16="http://schemas.microsoft.com/office/drawing/2014/main" id="{00000000-0008-0000-0000-00003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17" name="Immagine 816" descr="http://demaco.consob/ArchiflowWeb/images/indicator.gif">
          <a:extLst>
            <a:ext uri="{FF2B5EF4-FFF2-40B4-BE49-F238E27FC236}">
              <a16:creationId xmlns:a16="http://schemas.microsoft.com/office/drawing/2014/main" id="{00000000-0008-0000-0000-00003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18" name="Immagine 817" descr="http://demaco.consob/ArchiflowWeb/images/indicator.gif">
          <a:extLst>
            <a:ext uri="{FF2B5EF4-FFF2-40B4-BE49-F238E27FC236}">
              <a16:creationId xmlns:a16="http://schemas.microsoft.com/office/drawing/2014/main" id="{00000000-0008-0000-0000-00003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19" name="Immagine 818" descr="http://demaco.consob/ArchiflowWeb/images/indicator.gif">
          <a:extLst>
            <a:ext uri="{FF2B5EF4-FFF2-40B4-BE49-F238E27FC236}">
              <a16:creationId xmlns:a16="http://schemas.microsoft.com/office/drawing/2014/main" id="{00000000-0008-0000-0000-00003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20" name="Immagine 819" descr="http://demaco.consob/ArchiflowWeb/images/indicator.gif">
          <a:extLst>
            <a:ext uri="{FF2B5EF4-FFF2-40B4-BE49-F238E27FC236}">
              <a16:creationId xmlns:a16="http://schemas.microsoft.com/office/drawing/2014/main" id="{00000000-0008-0000-0000-00003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21" name="Immagine 820" descr="http://demaco.consob/ArchiflowWeb/images/indicator.gif">
          <a:extLst>
            <a:ext uri="{FF2B5EF4-FFF2-40B4-BE49-F238E27FC236}">
              <a16:creationId xmlns:a16="http://schemas.microsoft.com/office/drawing/2014/main" id="{00000000-0008-0000-0000-00003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22" name="Immagine 821" descr="http://demaco.consob/ArchiflowWeb/images/indicator.gif">
          <a:extLst>
            <a:ext uri="{FF2B5EF4-FFF2-40B4-BE49-F238E27FC236}">
              <a16:creationId xmlns:a16="http://schemas.microsoft.com/office/drawing/2014/main" id="{00000000-0008-0000-0000-00003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23" name="Immagine 822" descr="http://demaco.consob/ArchiflowWeb/images/indicator.gif">
          <a:extLst>
            <a:ext uri="{FF2B5EF4-FFF2-40B4-BE49-F238E27FC236}">
              <a16:creationId xmlns:a16="http://schemas.microsoft.com/office/drawing/2014/main" id="{00000000-0008-0000-0000-00003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24" name="Immagine 823" descr="http://demaco.consob/ArchiflowWeb/images/indicator.gif">
          <a:extLst>
            <a:ext uri="{FF2B5EF4-FFF2-40B4-BE49-F238E27FC236}">
              <a16:creationId xmlns:a16="http://schemas.microsoft.com/office/drawing/2014/main" id="{00000000-0008-0000-0000-00003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25" name="Immagine 824" descr="http://demaco.consob/ArchiflowWeb/images/indicator.gif">
          <a:extLst>
            <a:ext uri="{FF2B5EF4-FFF2-40B4-BE49-F238E27FC236}">
              <a16:creationId xmlns:a16="http://schemas.microsoft.com/office/drawing/2014/main" id="{00000000-0008-0000-0000-00003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26" name="Immagine 825" descr="http://demaco.consob/ArchiflowWeb/images/indicator.gif">
          <a:extLst>
            <a:ext uri="{FF2B5EF4-FFF2-40B4-BE49-F238E27FC236}">
              <a16:creationId xmlns:a16="http://schemas.microsoft.com/office/drawing/2014/main" id="{00000000-0008-0000-0000-00003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27" name="Immagine 826" descr="http://demaco.consob/ArchiflowWeb/images/indicator.gif">
          <a:extLst>
            <a:ext uri="{FF2B5EF4-FFF2-40B4-BE49-F238E27FC236}">
              <a16:creationId xmlns:a16="http://schemas.microsoft.com/office/drawing/2014/main" id="{00000000-0008-0000-0000-00003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28" name="Immagine 827" descr="http://demaco.consob/ArchiflowWeb/images/indicator.gif">
          <a:extLst>
            <a:ext uri="{FF2B5EF4-FFF2-40B4-BE49-F238E27FC236}">
              <a16:creationId xmlns:a16="http://schemas.microsoft.com/office/drawing/2014/main" id="{00000000-0008-0000-0000-00003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29" name="Immagine 828" descr="http://demaco.consob/ArchiflowWeb/images/indicator.gif">
          <a:extLst>
            <a:ext uri="{FF2B5EF4-FFF2-40B4-BE49-F238E27FC236}">
              <a16:creationId xmlns:a16="http://schemas.microsoft.com/office/drawing/2014/main" id="{00000000-0008-0000-0000-00003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30" name="Immagine 829" descr="http://demaco.consob/ArchiflowWeb/images/indicator.gif">
          <a:extLst>
            <a:ext uri="{FF2B5EF4-FFF2-40B4-BE49-F238E27FC236}">
              <a16:creationId xmlns:a16="http://schemas.microsoft.com/office/drawing/2014/main" id="{00000000-0008-0000-0000-00003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31" name="Immagine 830" descr="http://demaco.consob/ArchiflowWeb/images/indicator.gif">
          <a:extLst>
            <a:ext uri="{FF2B5EF4-FFF2-40B4-BE49-F238E27FC236}">
              <a16:creationId xmlns:a16="http://schemas.microsoft.com/office/drawing/2014/main" id="{00000000-0008-0000-0000-00003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32" name="Immagine 831" descr="http://demaco.consob/ArchiflowWeb/images/indicator.gif">
          <a:extLst>
            <a:ext uri="{FF2B5EF4-FFF2-40B4-BE49-F238E27FC236}">
              <a16:creationId xmlns:a16="http://schemas.microsoft.com/office/drawing/2014/main" id="{00000000-0008-0000-0000-00004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33" name="Immagine 832" descr="http://demaco.consob/ArchiflowWeb/images/indicator.gif">
          <a:extLst>
            <a:ext uri="{FF2B5EF4-FFF2-40B4-BE49-F238E27FC236}">
              <a16:creationId xmlns:a16="http://schemas.microsoft.com/office/drawing/2014/main" id="{00000000-0008-0000-0000-00004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34" name="Immagine 833" descr="http://demaco.consob/ArchiflowWeb/images/indicator.gif">
          <a:extLst>
            <a:ext uri="{FF2B5EF4-FFF2-40B4-BE49-F238E27FC236}">
              <a16:creationId xmlns:a16="http://schemas.microsoft.com/office/drawing/2014/main" id="{00000000-0008-0000-0000-00004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35" name="Immagine 834" descr="http://demaco.consob/ArchiflowWeb/images/indicator.gif">
          <a:extLst>
            <a:ext uri="{FF2B5EF4-FFF2-40B4-BE49-F238E27FC236}">
              <a16:creationId xmlns:a16="http://schemas.microsoft.com/office/drawing/2014/main" id="{00000000-0008-0000-0000-00004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36" name="Immagine 835" descr="http://demaco.consob/ArchiflowWeb/images/indicator.gif">
          <a:extLst>
            <a:ext uri="{FF2B5EF4-FFF2-40B4-BE49-F238E27FC236}">
              <a16:creationId xmlns:a16="http://schemas.microsoft.com/office/drawing/2014/main" id="{00000000-0008-0000-0000-00004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37" name="Immagine 836" descr="http://demaco.consob/ArchiflowWeb/images/indicator.gif">
          <a:extLst>
            <a:ext uri="{FF2B5EF4-FFF2-40B4-BE49-F238E27FC236}">
              <a16:creationId xmlns:a16="http://schemas.microsoft.com/office/drawing/2014/main" id="{00000000-0008-0000-0000-00004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38" name="Immagine 837" descr="http://demaco.consob/ArchiflowWeb/images/indicator.gif">
          <a:extLst>
            <a:ext uri="{FF2B5EF4-FFF2-40B4-BE49-F238E27FC236}">
              <a16:creationId xmlns:a16="http://schemas.microsoft.com/office/drawing/2014/main" id="{00000000-0008-0000-0000-00004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39" name="Immagine 838" descr="http://demaco.consob/ArchiflowWeb/images/indicator.gif">
          <a:extLst>
            <a:ext uri="{FF2B5EF4-FFF2-40B4-BE49-F238E27FC236}">
              <a16:creationId xmlns:a16="http://schemas.microsoft.com/office/drawing/2014/main" id="{00000000-0008-0000-0000-00004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40" name="Immagine 839" descr="http://demaco.consob/ArchiflowWeb/images/indicator.gif">
          <a:extLst>
            <a:ext uri="{FF2B5EF4-FFF2-40B4-BE49-F238E27FC236}">
              <a16:creationId xmlns:a16="http://schemas.microsoft.com/office/drawing/2014/main" id="{00000000-0008-0000-0000-00004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41" name="Immagine 840" descr="http://demaco.consob/ArchiflowWeb/images/indicator.gif">
          <a:extLst>
            <a:ext uri="{FF2B5EF4-FFF2-40B4-BE49-F238E27FC236}">
              <a16:creationId xmlns:a16="http://schemas.microsoft.com/office/drawing/2014/main" id="{00000000-0008-0000-0000-00004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42" name="Immagine 841" descr="http://demaco.consob/ArchiflowWeb/images/indicator.gif">
          <a:extLst>
            <a:ext uri="{FF2B5EF4-FFF2-40B4-BE49-F238E27FC236}">
              <a16:creationId xmlns:a16="http://schemas.microsoft.com/office/drawing/2014/main" id="{00000000-0008-0000-0000-00004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43" name="Immagine 842" descr="http://demaco.consob/ArchiflowWeb/images/indicator.gif">
          <a:extLst>
            <a:ext uri="{FF2B5EF4-FFF2-40B4-BE49-F238E27FC236}">
              <a16:creationId xmlns:a16="http://schemas.microsoft.com/office/drawing/2014/main" id="{00000000-0008-0000-0000-00004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44" name="Immagine 843" descr="http://demaco.consob/ArchiflowWeb/images/indicator.gif">
          <a:extLst>
            <a:ext uri="{FF2B5EF4-FFF2-40B4-BE49-F238E27FC236}">
              <a16:creationId xmlns:a16="http://schemas.microsoft.com/office/drawing/2014/main" id="{00000000-0008-0000-0000-00004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45" name="Immagine 844" descr="http://demaco.consob/ArchiflowWeb/images/indicator.gif">
          <a:extLst>
            <a:ext uri="{FF2B5EF4-FFF2-40B4-BE49-F238E27FC236}">
              <a16:creationId xmlns:a16="http://schemas.microsoft.com/office/drawing/2014/main" id="{00000000-0008-0000-0000-00004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46" name="Immagine 845" descr="http://demaco.consob/ArchiflowWeb/images/indicator.gif">
          <a:extLst>
            <a:ext uri="{FF2B5EF4-FFF2-40B4-BE49-F238E27FC236}">
              <a16:creationId xmlns:a16="http://schemas.microsoft.com/office/drawing/2014/main" id="{00000000-0008-0000-0000-00004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47" name="Immagine 846" descr="http://demaco.consob/ArchiflowWeb/images/indicator.gif">
          <a:extLst>
            <a:ext uri="{FF2B5EF4-FFF2-40B4-BE49-F238E27FC236}">
              <a16:creationId xmlns:a16="http://schemas.microsoft.com/office/drawing/2014/main" id="{00000000-0008-0000-0000-00004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48" name="Immagine 847" descr="http://demaco.consob/ArchiflowWeb/images/indicator.gif">
          <a:extLst>
            <a:ext uri="{FF2B5EF4-FFF2-40B4-BE49-F238E27FC236}">
              <a16:creationId xmlns:a16="http://schemas.microsoft.com/office/drawing/2014/main" id="{00000000-0008-0000-0000-00005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49" name="Immagine 848" descr="http://demaco.consob/ArchiflowWeb/images/indicator.gif">
          <a:extLst>
            <a:ext uri="{FF2B5EF4-FFF2-40B4-BE49-F238E27FC236}">
              <a16:creationId xmlns:a16="http://schemas.microsoft.com/office/drawing/2014/main" id="{00000000-0008-0000-0000-00005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50" name="Immagine 849" descr="http://demaco.consob/ArchiflowWeb/images/indicator.gif">
          <a:extLst>
            <a:ext uri="{FF2B5EF4-FFF2-40B4-BE49-F238E27FC236}">
              <a16:creationId xmlns:a16="http://schemas.microsoft.com/office/drawing/2014/main" id="{00000000-0008-0000-0000-00005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51" name="Immagine 850" descr="http://demaco.consob/ArchiflowWeb/images/indicator.gif">
          <a:extLst>
            <a:ext uri="{FF2B5EF4-FFF2-40B4-BE49-F238E27FC236}">
              <a16:creationId xmlns:a16="http://schemas.microsoft.com/office/drawing/2014/main" id="{00000000-0008-0000-0000-00005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52" name="Immagine 851" descr="http://demaco.consob/ArchiflowWeb/images/indicator.gif">
          <a:extLst>
            <a:ext uri="{FF2B5EF4-FFF2-40B4-BE49-F238E27FC236}">
              <a16:creationId xmlns:a16="http://schemas.microsoft.com/office/drawing/2014/main" id="{00000000-0008-0000-0000-00005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53" name="Immagine 852" descr="http://demaco.consob/ArchiflowWeb/images/indicator.gif">
          <a:extLst>
            <a:ext uri="{FF2B5EF4-FFF2-40B4-BE49-F238E27FC236}">
              <a16:creationId xmlns:a16="http://schemas.microsoft.com/office/drawing/2014/main" id="{00000000-0008-0000-0000-00005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54" name="Immagine 853" descr="http://demaco.consob/ArchiflowWeb/images/indicator.gif">
          <a:extLst>
            <a:ext uri="{FF2B5EF4-FFF2-40B4-BE49-F238E27FC236}">
              <a16:creationId xmlns:a16="http://schemas.microsoft.com/office/drawing/2014/main" id="{00000000-0008-0000-0000-00005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55" name="Immagine 854" descr="http://demaco.consob/ArchiflowWeb/images/indicator.gif">
          <a:extLst>
            <a:ext uri="{FF2B5EF4-FFF2-40B4-BE49-F238E27FC236}">
              <a16:creationId xmlns:a16="http://schemas.microsoft.com/office/drawing/2014/main" id="{00000000-0008-0000-0000-00005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56" name="Immagine 855" descr="http://demaco.consob/ArchiflowWeb/images/indicator.gif">
          <a:extLst>
            <a:ext uri="{FF2B5EF4-FFF2-40B4-BE49-F238E27FC236}">
              <a16:creationId xmlns:a16="http://schemas.microsoft.com/office/drawing/2014/main" id="{00000000-0008-0000-0000-00005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57" name="Immagine 856" descr="http://demaco.consob/ArchiflowWeb/images/indicator.gif">
          <a:extLst>
            <a:ext uri="{FF2B5EF4-FFF2-40B4-BE49-F238E27FC236}">
              <a16:creationId xmlns:a16="http://schemas.microsoft.com/office/drawing/2014/main" id="{00000000-0008-0000-0000-00005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58" name="Immagine 857" descr="http://demaco.consob/ArchiflowWeb/images/indicator.gif">
          <a:extLst>
            <a:ext uri="{FF2B5EF4-FFF2-40B4-BE49-F238E27FC236}">
              <a16:creationId xmlns:a16="http://schemas.microsoft.com/office/drawing/2014/main" id="{00000000-0008-0000-0000-00005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59" name="Immagine 858" descr="http://demaco.consob/ArchiflowWeb/images/indicator.gif">
          <a:extLst>
            <a:ext uri="{FF2B5EF4-FFF2-40B4-BE49-F238E27FC236}">
              <a16:creationId xmlns:a16="http://schemas.microsoft.com/office/drawing/2014/main" id="{00000000-0008-0000-0000-00005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60" name="Immagine 859" descr="http://demaco.consob/ArchiflowWeb/images/indicator.gif">
          <a:extLst>
            <a:ext uri="{FF2B5EF4-FFF2-40B4-BE49-F238E27FC236}">
              <a16:creationId xmlns:a16="http://schemas.microsoft.com/office/drawing/2014/main" id="{00000000-0008-0000-0000-00005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61" name="Immagine 860" descr="http://demaco.consob/ArchiflowWeb/images/indicator.gif">
          <a:extLst>
            <a:ext uri="{FF2B5EF4-FFF2-40B4-BE49-F238E27FC236}">
              <a16:creationId xmlns:a16="http://schemas.microsoft.com/office/drawing/2014/main" id="{00000000-0008-0000-0000-00005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62" name="Immagine 861" descr="http://demaco.consob/ArchiflowWeb/images/indicator.gif">
          <a:extLst>
            <a:ext uri="{FF2B5EF4-FFF2-40B4-BE49-F238E27FC236}">
              <a16:creationId xmlns:a16="http://schemas.microsoft.com/office/drawing/2014/main" id="{00000000-0008-0000-0000-00005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63" name="Immagine 862" descr="http://demaco.consob/ArchiflowWeb/images/indicator.gif">
          <a:extLst>
            <a:ext uri="{FF2B5EF4-FFF2-40B4-BE49-F238E27FC236}">
              <a16:creationId xmlns:a16="http://schemas.microsoft.com/office/drawing/2014/main" id="{00000000-0008-0000-0000-00005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64" name="Immagine 863" descr="http://demaco.consob/ArchiflowWeb/images/indicator.gif">
          <a:extLst>
            <a:ext uri="{FF2B5EF4-FFF2-40B4-BE49-F238E27FC236}">
              <a16:creationId xmlns:a16="http://schemas.microsoft.com/office/drawing/2014/main" id="{00000000-0008-0000-0000-00006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65" name="Immagine 864" descr="http://demaco.consob/ArchiflowWeb/images/indicator.gif">
          <a:extLst>
            <a:ext uri="{FF2B5EF4-FFF2-40B4-BE49-F238E27FC236}">
              <a16:creationId xmlns:a16="http://schemas.microsoft.com/office/drawing/2014/main" id="{00000000-0008-0000-0000-00006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66" name="Immagine 865" descr="http://demaco.consob/ArchiflowWeb/images/indicator.gif">
          <a:extLst>
            <a:ext uri="{FF2B5EF4-FFF2-40B4-BE49-F238E27FC236}">
              <a16:creationId xmlns:a16="http://schemas.microsoft.com/office/drawing/2014/main" id="{00000000-0008-0000-0000-00006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67" name="Immagine 866" descr="http://demaco.consob/ArchiflowWeb/images/indicator.gif">
          <a:extLst>
            <a:ext uri="{FF2B5EF4-FFF2-40B4-BE49-F238E27FC236}">
              <a16:creationId xmlns:a16="http://schemas.microsoft.com/office/drawing/2014/main" id="{00000000-0008-0000-0000-00006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68" name="Immagine 867" descr="http://demaco.consob/ArchiflowWeb/images/indicator.gif">
          <a:extLst>
            <a:ext uri="{FF2B5EF4-FFF2-40B4-BE49-F238E27FC236}">
              <a16:creationId xmlns:a16="http://schemas.microsoft.com/office/drawing/2014/main" id="{00000000-0008-0000-0000-00006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69" name="Immagine 868" descr="http://demaco.consob/ArchiflowWeb/images/indicator.gif">
          <a:extLst>
            <a:ext uri="{FF2B5EF4-FFF2-40B4-BE49-F238E27FC236}">
              <a16:creationId xmlns:a16="http://schemas.microsoft.com/office/drawing/2014/main" id="{00000000-0008-0000-0000-00006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70" name="Immagine 869" descr="http://demaco.consob/ArchiflowWeb/images/indicator.gif">
          <a:extLst>
            <a:ext uri="{FF2B5EF4-FFF2-40B4-BE49-F238E27FC236}">
              <a16:creationId xmlns:a16="http://schemas.microsoft.com/office/drawing/2014/main" id="{00000000-0008-0000-0000-00006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71" name="Immagine 870" descr="http://demaco.consob/ArchiflowWeb/images/indicator.gif">
          <a:extLst>
            <a:ext uri="{FF2B5EF4-FFF2-40B4-BE49-F238E27FC236}">
              <a16:creationId xmlns:a16="http://schemas.microsoft.com/office/drawing/2014/main" id="{00000000-0008-0000-0000-00006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72" name="Immagine 871" descr="http://demaco.consob/ArchiflowWeb/images/indicator.gif">
          <a:extLst>
            <a:ext uri="{FF2B5EF4-FFF2-40B4-BE49-F238E27FC236}">
              <a16:creationId xmlns:a16="http://schemas.microsoft.com/office/drawing/2014/main" id="{00000000-0008-0000-0000-00006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73" name="Immagine 872" descr="http://demaco.consob/ArchiflowWeb/images/indicator.gif">
          <a:extLst>
            <a:ext uri="{FF2B5EF4-FFF2-40B4-BE49-F238E27FC236}">
              <a16:creationId xmlns:a16="http://schemas.microsoft.com/office/drawing/2014/main" id="{00000000-0008-0000-0000-00006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74" name="Immagine 873" descr="http://demaco.consob/ArchiflowWeb/images/indicator.gif">
          <a:extLst>
            <a:ext uri="{FF2B5EF4-FFF2-40B4-BE49-F238E27FC236}">
              <a16:creationId xmlns:a16="http://schemas.microsoft.com/office/drawing/2014/main" id="{00000000-0008-0000-0000-00006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75" name="Immagine 874" descr="http://demaco.consob/ArchiflowWeb/images/indicator.gif">
          <a:extLst>
            <a:ext uri="{FF2B5EF4-FFF2-40B4-BE49-F238E27FC236}">
              <a16:creationId xmlns:a16="http://schemas.microsoft.com/office/drawing/2014/main" id="{00000000-0008-0000-0000-00006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76" name="Immagine 875" descr="http://demaco.consob/ArchiflowWeb/images/indicator.gif">
          <a:extLst>
            <a:ext uri="{FF2B5EF4-FFF2-40B4-BE49-F238E27FC236}">
              <a16:creationId xmlns:a16="http://schemas.microsoft.com/office/drawing/2014/main" id="{00000000-0008-0000-0000-00006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77" name="Immagine 876" descr="http://demaco.consob/ArchiflowWeb/images/indicator.gif">
          <a:extLst>
            <a:ext uri="{FF2B5EF4-FFF2-40B4-BE49-F238E27FC236}">
              <a16:creationId xmlns:a16="http://schemas.microsoft.com/office/drawing/2014/main" id="{00000000-0008-0000-0000-00006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78" name="Immagine 877" descr="http://demaco.consob/ArchiflowWeb/images/indicator.gif">
          <a:extLst>
            <a:ext uri="{FF2B5EF4-FFF2-40B4-BE49-F238E27FC236}">
              <a16:creationId xmlns:a16="http://schemas.microsoft.com/office/drawing/2014/main" id="{00000000-0008-0000-0000-00006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79" name="Immagine 878" descr="http://demaco.consob/ArchiflowWeb/images/indicator.gif">
          <a:extLst>
            <a:ext uri="{FF2B5EF4-FFF2-40B4-BE49-F238E27FC236}">
              <a16:creationId xmlns:a16="http://schemas.microsoft.com/office/drawing/2014/main" id="{00000000-0008-0000-0000-00006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80" name="Immagine 879" descr="http://demaco.consob/ArchiflowWeb/images/indicator.gif">
          <a:extLst>
            <a:ext uri="{FF2B5EF4-FFF2-40B4-BE49-F238E27FC236}">
              <a16:creationId xmlns:a16="http://schemas.microsoft.com/office/drawing/2014/main" id="{00000000-0008-0000-0000-00007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81" name="Immagine 880" descr="http://demaco.consob/ArchiflowWeb/images/indicator.gif">
          <a:extLst>
            <a:ext uri="{FF2B5EF4-FFF2-40B4-BE49-F238E27FC236}">
              <a16:creationId xmlns:a16="http://schemas.microsoft.com/office/drawing/2014/main" id="{00000000-0008-0000-0000-00007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82" name="Immagine 881" descr="http://demaco.consob/ArchiflowWeb/images/indicator.gif">
          <a:extLst>
            <a:ext uri="{FF2B5EF4-FFF2-40B4-BE49-F238E27FC236}">
              <a16:creationId xmlns:a16="http://schemas.microsoft.com/office/drawing/2014/main" id="{00000000-0008-0000-0000-00007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83" name="Immagine 882" descr="http://demaco.consob/ArchiflowWeb/images/indicator.gif">
          <a:extLst>
            <a:ext uri="{FF2B5EF4-FFF2-40B4-BE49-F238E27FC236}">
              <a16:creationId xmlns:a16="http://schemas.microsoft.com/office/drawing/2014/main" id="{00000000-0008-0000-0000-00007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84" name="Immagine 883" descr="http://demaco.consob/ArchiflowWeb/images/indicator.gif">
          <a:extLst>
            <a:ext uri="{FF2B5EF4-FFF2-40B4-BE49-F238E27FC236}">
              <a16:creationId xmlns:a16="http://schemas.microsoft.com/office/drawing/2014/main" id="{00000000-0008-0000-0000-00007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85" name="Immagine 884" descr="http://demaco.consob/ArchiflowWeb/images/indicator.gif">
          <a:extLst>
            <a:ext uri="{FF2B5EF4-FFF2-40B4-BE49-F238E27FC236}">
              <a16:creationId xmlns:a16="http://schemas.microsoft.com/office/drawing/2014/main" id="{00000000-0008-0000-0000-00007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86" name="Immagine 885" descr="http://demaco.consob/ArchiflowWeb/images/indicator.gif">
          <a:extLst>
            <a:ext uri="{FF2B5EF4-FFF2-40B4-BE49-F238E27FC236}">
              <a16:creationId xmlns:a16="http://schemas.microsoft.com/office/drawing/2014/main" id="{00000000-0008-0000-0000-00007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87" name="Immagine 886" descr="http://demaco.consob/ArchiflowWeb/images/indicator.gif">
          <a:extLst>
            <a:ext uri="{FF2B5EF4-FFF2-40B4-BE49-F238E27FC236}">
              <a16:creationId xmlns:a16="http://schemas.microsoft.com/office/drawing/2014/main" id="{00000000-0008-0000-0000-00007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88" name="Immagine 887" descr="http://demaco.consob/ArchiflowWeb/images/indicator.gif">
          <a:extLst>
            <a:ext uri="{FF2B5EF4-FFF2-40B4-BE49-F238E27FC236}">
              <a16:creationId xmlns:a16="http://schemas.microsoft.com/office/drawing/2014/main" id="{00000000-0008-0000-0000-00007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89" name="Immagine 888" descr="http://demaco.consob/ArchiflowWeb/images/indicator.gif">
          <a:extLst>
            <a:ext uri="{FF2B5EF4-FFF2-40B4-BE49-F238E27FC236}">
              <a16:creationId xmlns:a16="http://schemas.microsoft.com/office/drawing/2014/main" id="{00000000-0008-0000-0000-00007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90" name="Immagine 889" descr="http://demaco.consob/ArchiflowWeb/images/indicator.gif">
          <a:extLst>
            <a:ext uri="{FF2B5EF4-FFF2-40B4-BE49-F238E27FC236}">
              <a16:creationId xmlns:a16="http://schemas.microsoft.com/office/drawing/2014/main" id="{00000000-0008-0000-0000-00007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91" name="Immagine 890" descr="http://demaco.consob/ArchiflowWeb/images/indicator.gif">
          <a:extLst>
            <a:ext uri="{FF2B5EF4-FFF2-40B4-BE49-F238E27FC236}">
              <a16:creationId xmlns:a16="http://schemas.microsoft.com/office/drawing/2014/main" id="{00000000-0008-0000-0000-00007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92" name="Immagine 891" descr="http://demaco.consob/ArchiflowWeb/images/indicator.gif">
          <a:extLst>
            <a:ext uri="{FF2B5EF4-FFF2-40B4-BE49-F238E27FC236}">
              <a16:creationId xmlns:a16="http://schemas.microsoft.com/office/drawing/2014/main" id="{00000000-0008-0000-0000-00007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93" name="Immagine 892" descr="http://demaco.consob/ArchiflowWeb/images/indicator.gif">
          <a:extLst>
            <a:ext uri="{FF2B5EF4-FFF2-40B4-BE49-F238E27FC236}">
              <a16:creationId xmlns:a16="http://schemas.microsoft.com/office/drawing/2014/main" id="{00000000-0008-0000-0000-00007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94" name="Immagine 893" descr="http://demaco.consob/ArchiflowWeb/images/indicator.gif">
          <a:extLst>
            <a:ext uri="{FF2B5EF4-FFF2-40B4-BE49-F238E27FC236}">
              <a16:creationId xmlns:a16="http://schemas.microsoft.com/office/drawing/2014/main" id="{00000000-0008-0000-0000-00007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95" name="Immagine 894" descr="http://demaco.consob/ArchiflowWeb/images/indicator.gif">
          <a:extLst>
            <a:ext uri="{FF2B5EF4-FFF2-40B4-BE49-F238E27FC236}">
              <a16:creationId xmlns:a16="http://schemas.microsoft.com/office/drawing/2014/main" id="{00000000-0008-0000-0000-00007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96" name="Immagine 895" descr="http://demaco.consob/ArchiflowWeb/images/indicator.gif">
          <a:extLst>
            <a:ext uri="{FF2B5EF4-FFF2-40B4-BE49-F238E27FC236}">
              <a16:creationId xmlns:a16="http://schemas.microsoft.com/office/drawing/2014/main" id="{00000000-0008-0000-0000-00008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97" name="Immagine 896" descr="http://demaco.consob/ArchiflowWeb/images/indicator.gif">
          <a:extLst>
            <a:ext uri="{FF2B5EF4-FFF2-40B4-BE49-F238E27FC236}">
              <a16:creationId xmlns:a16="http://schemas.microsoft.com/office/drawing/2014/main" id="{00000000-0008-0000-0000-00008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898" name="Immagine 897" descr="http://demaco.consob/ArchiflowWeb/images/indicator.gif">
          <a:extLst>
            <a:ext uri="{FF2B5EF4-FFF2-40B4-BE49-F238E27FC236}">
              <a16:creationId xmlns:a16="http://schemas.microsoft.com/office/drawing/2014/main" id="{00000000-0008-0000-0000-00008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899" name="Immagine 898" descr="http://demaco.consob/ArchiflowWeb/images/indicator.gif">
          <a:extLst>
            <a:ext uri="{FF2B5EF4-FFF2-40B4-BE49-F238E27FC236}">
              <a16:creationId xmlns:a16="http://schemas.microsoft.com/office/drawing/2014/main" id="{00000000-0008-0000-0000-00008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00" name="Immagine 899" descr="http://demaco.consob/ArchiflowWeb/images/indicator.gif">
          <a:extLst>
            <a:ext uri="{FF2B5EF4-FFF2-40B4-BE49-F238E27FC236}">
              <a16:creationId xmlns:a16="http://schemas.microsoft.com/office/drawing/2014/main" id="{00000000-0008-0000-0000-00008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01" name="Immagine 900" descr="http://demaco.consob/ArchiflowWeb/images/indicator.gif">
          <a:extLst>
            <a:ext uri="{FF2B5EF4-FFF2-40B4-BE49-F238E27FC236}">
              <a16:creationId xmlns:a16="http://schemas.microsoft.com/office/drawing/2014/main" id="{00000000-0008-0000-0000-00008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02" name="Immagine 901" descr="http://demaco.consob/ArchiflowWeb/images/indicator.gif">
          <a:extLst>
            <a:ext uri="{FF2B5EF4-FFF2-40B4-BE49-F238E27FC236}">
              <a16:creationId xmlns:a16="http://schemas.microsoft.com/office/drawing/2014/main" id="{00000000-0008-0000-0000-00008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03" name="Immagine 902" descr="http://demaco.consob/ArchiflowWeb/images/indicator.gif">
          <a:extLst>
            <a:ext uri="{FF2B5EF4-FFF2-40B4-BE49-F238E27FC236}">
              <a16:creationId xmlns:a16="http://schemas.microsoft.com/office/drawing/2014/main" id="{00000000-0008-0000-0000-00008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04" name="Immagine 903" descr="http://demaco.consob/ArchiflowWeb/images/indicator.gif">
          <a:extLst>
            <a:ext uri="{FF2B5EF4-FFF2-40B4-BE49-F238E27FC236}">
              <a16:creationId xmlns:a16="http://schemas.microsoft.com/office/drawing/2014/main" id="{00000000-0008-0000-0000-00008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05" name="Immagine 904" descr="http://demaco.consob/ArchiflowWeb/images/indicator.gif">
          <a:extLst>
            <a:ext uri="{FF2B5EF4-FFF2-40B4-BE49-F238E27FC236}">
              <a16:creationId xmlns:a16="http://schemas.microsoft.com/office/drawing/2014/main" id="{00000000-0008-0000-0000-00008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06" name="Immagine 905" descr="http://demaco.consob/ArchiflowWeb/images/indicator.gif">
          <a:extLst>
            <a:ext uri="{FF2B5EF4-FFF2-40B4-BE49-F238E27FC236}">
              <a16:creationId xmlns:a16="http://schemas.microsoft.com/office/drawing/2014/main" id="{00000000-0008-0000-0000-00008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07" name="Immagine 906" descr="http://demaco.consob/ArchiflowWeb/images/indicator.gif">
          <a:extLst>
            <a:ext uri="{FF2B5EF4-FFF2-40B4-BE49-F238E27FC236}">
              <a16:creationId xmlns:a16="http://schemas.microsoft.com/office/drawing/2014/main" id="{00000000-0008-0000-0000-00008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08" name="Immagine 907" descr="http://demaco.consob/ArchiflowWeb/images/indicator.gif">
          <a:extLst>
            <a:ext uri="{FF2B5EF4-FFF2-40B4-BE49-F238E27FC236}">
              <a16:creationId xmlns:a16="http://schemas.microsoft.com/office/drawing/2014/main" id="{00000000-0008-0000-0000-00008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09" name="Immagine 908" descr="http://demaco.consob/ArchiflowWeb/images/indicator.gif">
          <a:extLst>
            <a:ext uri="{FF2B5EF4-FFF2-40B4-BE49-F238E27FC236}">
              <a16:creationId xmlns:a16="http://schemas.microsoft.com/office/drawing/2014/main" id="{00000000-0008-0000-0000-00008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10" name="Immagine 909" descr="http://demaco.consob/ArchiflowWeb/images/indicator.gif">
          <a:extLst>
            <a:ext uri="{FF2B5EF4-FFF2-40B4-BE49-F238E27FC236}">
              <a16:creationId xmlns:a16="http://schemas.microsoft.com/office/drawing/2014/main" id="{00000000-0008-0000-0000-00008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11" name="Immagine 910" descr="http://demaco.consob/ArchiflowWeb/images/indicator.gif">
          <a:extLst>
            <a:ext uri="{FF2B5EF4-FFF2-40B4-BE49-F238E27FC236}">
              <a16:creationId xmlns:a16="http://schemas.microsoft.com/office/drawing/2014/main" id="{00000000-0008-0000-0000-00008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12" name="Immagine 911" descr="http://demaco.consob/ArchiflowWeb/images/indicator.gif">
          <a:extLst>
            <a:ext uri="{FF2B5EF4-FFF2-40B4-BE49-F238E27FC236}">
              <a16:creationId xmlns:a16="http://schemas.microsoft.com/office/drawing/2014/main" id="{00000000-0008-0000-0000-00009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13" name="Immagine 912" descr="http://demaco.consob/ArchiflowWeb/images/indicator.gif">
          <a:extLst>
            <a:ext uri="{FF2B5EF4-FFF2-40B4-BE49-F238E27FC236}">
              <a16:creationId xmlns:a16="http://schemas.microsoft.com/office/drawing/2014/main" id="{00000000-0008-0000-0000-00009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14" name="Immagine 913" descr="http://demaco.consob/ArchiflowWeb/images/indicator.gif">
          <a:extLst>
            <a:ext uri="{FF2B5EF4-FFF2-40B4-BE49-F238E27FC236}">
              <a16:creationId xmlns:a16="http://schemas.microsoft.com/office/drawing/2014/main" id="{00000000-0008-0000-0000-00009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15" name="Immagine 914" descr="http://demaco.consob/ArchiflowWeb/images/indicator.gif">
          <a:extLst>
            <a:ext uri="{FF2B5EF4-FFF2-40B4-BE49-F238E27FC236}">
              <a16:creationId xmlns:a16="http://schemas.microsoft.com/office/drawing/2014/main" id="{00000000-0008-0000-0000-00009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16" name="Immagine 915" descr="http://demaco.consob/ArchiflowWeb/images/indicator.gif">
          <a:extLst>
            <a:ext uri="{FF2B5EF4-FFF2-40B4-BE49-F238E27FC236}">
              <a16:creationId xmlns:a16="http://schemas.microsoft.com/office/drawing/2014/main" id="{00000000-0008-0000-0000-00009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17" name="Immagine 916" descr="http://demaco.consob/ArchiflowWeb/images/indicator.gif">
          <a:extLst>
            <a:ext uri="{FF2B5EF4-FFF2-40B4-BE49-F238E27FC236}">
              <a16:creationId xmlns:a16="http://schemas.microsoft.com/office/drawing/2014/main" id="{00000000-0008-0000-0000-00009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18" name="Immagine 917" descr="http://demaco.consob/ArchiflowWeb/images/indicator.gif">
          <a:extLst>
            <a:ext uri="{FF2B5EF4-FFF2-40B4-BE49-F238E27FC236}">
              <a16:creationId xmlns:a16="http://schemas.microsoft.com/office/drawing/2014/main" id="{00000000-0008-0000-0000-00009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19" name="Immagine 918" descr="http://demaco.consob/ArchiflowWeb/images/indicator.gif">
          <a:extLst>
            <a:ext uri="{FF2B5EF4-FFF2-40B4-BE49-F238E27FC236}">
              <a16:creationId xmlns:a16="http://schemas.microsoft.com/office/drawing/2014/main" id="{00000000-0008-0000-0000-00009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20" name="Immagine 919" descr="http://demaco.consob/ArchiflowWeb/images/indicator.gif">
          <a:extLst>
            <a:ext uri="{FF2B5EF4-FFF2-40B4-BE49-F238E27FC236}">
              <a16:creationId xmlns:a16="http://schemas.microsoft.com/office/drawing/2014/main" id="{00000000-0008-0000-0000-00009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21" name="Immagine 920" descr="http://demaco.consob/ArchiflowWeb/images/indicator.gif">
          <a:extLst>
            <a:ext uri="{FF2B5EF4-FFF2-40B4-BE49-F238E27FC236}">
              <a16:creationId xmlns:a16="http://schemas.microsoft.com/office/drawing/2014/main" id="{00000000-0008-0000-0000-00009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22" name="Immagine 921" descr="http://demaco.consob/ArchiflowWeb/images/indicator.gif">
          <a:extLst>
            <a:ext uri="{FF2B5EF4-FFF2-40B4-BE49-F238E27FC236}">
              <a16:creationId xmlns:a16="http://schemas.microsoft.com/office/drawing/2014/main" id="{00000000-0008-0000-0000-00009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23" name="Immagine 922" descr="http://demaco.consob/ArchiflowWeb/images/indicator.gif">
          <a:extLst>
            <a:ext uri="{FF2B5EF4-FFF2-40B4-BE49-F238E27FC236}">
              <a16:creationId xmlns:a16="http://schemas.microsoft.com/office/drawing/2014/main" id="{00000000-0008-0000-0000-00009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24" name="Immagine 923" descr="http://demaco.consob/ArchiflowWeb/images/indicator.gif">
          <a:extLst>
            <a:ext uri="{FF2B5EF4-FFF2-40B4-BE49-F238E27FC236}">
              <a16:creationId xmlns:a16="http://schemas.microsoft.com/office/drawing/2014/main" id="{00000000-0008-0000-0000-00009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25" name="Immagine 924" descr="http://demaco.consob/ArchiflowWeb/images/indicator.gif">
          <a:extLst>
            <a:ext uri="{FF2B5EF4-FFF2-40B4-BE49-F238E27FC236}">
              <a16:creationId xmlns:a16="http://schemas.microsoft.com/office/drawing/2014/main" id="{00000000-0008-0000-0000-00009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26" name="Immagine 925" descr="http://demaco.consob/ArchiflowWeb/images/indicator.gif">
          <a:extLst>
            <a:ext uri="{FF2B5EF4-FFF2-40B4-BE49-F238E27FC236}">
              <a16:creationId xmlns:a16="http://schemas.microsoft.com/office/drawing/2014/main" id="{00000000-0008-0000-0000-00009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27" name="Immagine 926" descr="http://demaco.consob/ArchiflowWeb/images/indicator.gif">
          <a:extLst>
            <a:ext uri="{FF2B5EF4-FFF2-40B4-BE49-F238E27FC236}">
              <a16:creationId xmlns:a16="http://schemas.microsoft.com/office/drawing/2014/main" id="{00000000-0008-0000-0000-00009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28" name="Immagine 927" descr="http://demaco.consob/ArchiflowWeb/images/indicator.gif">
          <a:extLst>
            <a:ext uri="{FF2B5EF4-FFF2-40B4-BE49-F238E27FC236}">
              <a16:creationId xmlns:a16="http://schemas.microsoft.com/office/drawing/2014/main" id="{00000000-0008-0000-0000-0000A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29" name="Immagine 928" descr="http://demaco.consob/ArchiflowWeb/images/indicator.gif">
          <a:extLst>
            <a:ext uri="{FF2B5EF4-FFF2-40B4-BE49-F238E27FC236}">
              <a16:creationId xmlns:a16="http://schemas.microsoft.com/office/drawing/2014/main" id="{00000000-0008-0000-0000-0000A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30" name="Immagine 929" descr="http://demaco.consob/ArchiflowWeb/images/indicator.gif">
          <a:extLst>
            <a:ext uri="{FF2B5EF4-FFF2-40B4-BE49-F238E27FC236}">
              <a16:creationId xmlns:a16="http://schemas.microsoft.com/office/drawing/2014/main" id="{00000000-0008-0000-0000-0000A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31" name="Immagine 930" descr="http://demaco.consob/ArchiflowWeb/images/indicator.gif">
          <a:extLst>
            <a:ext uri="{FF2B5EF4-FFF2-40B4-BE49-F238E27FC236}">
              <a16:creationId xmlns:a16="http://schemas.microsoft.com/office/drawing/2014/main" id="{00000000-0008-0000-0000-0000A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32" name="Immagine 931" descr="http://demaco.consob/ArchiflowWeb/images/indicator.gif">
          <a:extLst>
            <a:ext uri="{FF2B5EF4-FFF2-40B4-BE49-F238E27FC236}">
              <a16:creationId xmlns:a16="http://schemas.microsoft.com/office/drawing/2014/main" id="{00000000-0008-0000-0000-0000A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33" name="Immagine 932" descr="http://demaco.consob/ArchiflowWeb/images/indicator.gif">
          <a:extLst>
            <a:ext uri="{FF2B5EF4-FFF2-40B4-BE49-F238E27FC236}">
              <a16:creationId xmlns:a16="http://schemas.microsoft.com/office/drawing/2014/main" id="{00000000-0008-0000-0000-0000A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34" name="Immagine 933" descr="http://demaco.consob/ArchiflowWeb/images/indicator.gif">
          <a:extLst>
            <a:ext uri="{FF2B5EF4-FFF2-40B4-BE49-F238E27FC236}">
              <a16:creationId xmlns:a16="http://schemas.microsoft.com/office/drawing/2014/main" id="{00000000-0008-0000-0000-0000A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35" name="Immagine 934" descr="http://demaco.consob/ArchiflowWeb/images/indicator.gif">
          <a:extLst>
            <a:ext uri="{FF2B5EF4-FFF2-40B4-BE49-F238E27FC236}">
              <a16:creationId xmlns:a16="http://schemas.microsoft.com/office/drawing/2014/main" id="{00000000-0008-0000-0000-0000A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439</xdr:row>
      <xdr:rowOff>0</xdr:rowOff>
    </xdr:from>
    <xdr:to>
      <xdr:col>11</xdr:col>
      <xdr:colOff>152400</xdr:colOff>
      <xdr:row>439</xdr:row>
      <xdr:rowOff>152400</xdr:rowOff>
    </xdr:to>
    <xdr:pic>
      <xdr:nvPicPr>
        <xdr:cNvPr id="936" name="Immagine 935" descr="http://demaco.consob/ArchiflowWeb/images/indicator.gif">
          <a:extLst>
            <a:ext uri="{FF2B5EF4-FFF2-40B4-BE49-F238E27FC236}">
              <a16:creationId xmlns:a16="http://schemas.microsoft.com/office/drawing/2014/main" id="{00000000-0008-0000-0000-0000A8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58867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439</xdr:row>
      <xdr:rowOff>0</xdr:rowOff>
    </xdr:from>
    <xdr:ext cx="152400" cy="152400"/>
    <xdr:pic>
      <xdr:nvPicPr>
        <xdr:cNvPr id="937" name="Immagine 936" descr="http://demaco.consob/ArchiflowWeb/images/indicator.gif">
          <a:extLst>
            <a:ext uri="{FF2B5EF4-FFF2-40B4-BE49-F238E27FC236}">
              <a16:creationId xmlns:a16="http://schemas.microsoft.com/office/drawing/2014/main" id="{00000000-0008-0000-0000-0000A9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58867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38" name="Immagine 937" descr="http://demaco.consob/ArchiflowWeb/images/indicator.gif">
          <a:extLst>
            <a:ext uri="{FF2B5EF4-FFF2-40B4-BE49-F238E27FC236}">
              <a16:creationId xmlns:a16="http://schemas.microsoft.com/office/drawing/2014/main" id="{00000000-0008-0000-0000-0000AA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010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39" name="Immagine 938" descr="http://demaco.consob/ArchiflowWeb/images/indicator.gif">
          <a:extLst>
            <a:ext uri="{FF2B5EF4-FFF2-40B4-BE49-F238E27FC236}">
              <a16:creationId xmlns:a16="http://schemas.microsoft.com/office/drawing/2014/main" id="{00000000-0008-0000-0000-0000AB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010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439</xdr:row>
      <xdr:rowOff>0</xdr:rowOff>
    </xdr:from>
    <xdr:ext cx="152400" cy="152400"/>
    <xdr:pic>
      <xdr:nvPicPr>
        <xdr:cNvPr id="940" name="Immagine 939" descr="http://demaco.consob/ArchiflowWeb/images/indicator.gif">
          <a:extLst>
            <a:ext uri="{FF2B5EF4-FFF2-40B4-BE49-F238E27FC236}">
              <a16:creationId xmlns:a16="http://schemas.microsoft.com/office/drawing/2014/main" id="{00000000-0008-0000-0000-0000AC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11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439</xdr:row>
      <xdr:rowOff>0</xdr:rowOff>
    </xdr:from>
    <xdr:ext cx="152400" cy="152400"/>
    <xdr:pic>
      <xdr:nvPicPr>
        <xdr:cNvPr id="941" name="Immagine 940" descr="http://demaco.consob/ArchiflowWeb/images/indicator.gif">
          <a:extLst>
            <a:ext uri="{FF2B5EF4-FFF2-40B4-BE49-F238E27FC236}">
              <a16:creationId xmlns:a16="http://schemas.microsoft.com/office/drawing/2014/main" id="{00000000-0008-0000-0000-0000AD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11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227</xdr:row>
      <xdr:rowOff>0</xdr:rowOff>
    </xdr:from>
    <xdr:ext cx="152400" cy="152400"/>
    <xdr:pic>
      <xdr:nvPicPr>
        <xdr:cNvPr id="942" name="Immagine 941" descr="http://demaco.consob/ArchiflowWeb/images/indicator.gif">
          <a:extLst>
            <a:ext uri="{FF2B5EF4-FFF2-40B4-BE49-F238E27FC236}">
              <a16:creationId xmlns:a16="http://schemas.microsoft.com/office/drawing/2014/main" id="{00000000-0008-0000-0000-0000A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4881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43" name="Immagine 942"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44" name="Immagine 943"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45" name="Immagine 944"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46" name="Immagine 945"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47" name="Immagine 946"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48" name="Immagine 947"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49" name="Immagine 948"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50" name="Immagine 949"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51" name="Immagine 950"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52" name="Immagine 951"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53" name="Immagine 952"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54" name="Immagine 953"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55" name="Immagine 954"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56" name="Immagine 955"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57" name="Immagine 956"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58" name="Immagine 957"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59" name="Immagine 958"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60" name="Immagine 959"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61" name="Immagine 960"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62" name="Immagine 961"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63" name="Immagine 962"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64" name="Immagine 963"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65" name="Immagine 964"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66" name="Immagine 965"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67" name="Immagine 966"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68" name="Immagine 967"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69" name="Immagine 968"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70" name="Immagine 969"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71" name="Immagine 970"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72" name="Immagine 971"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73" name="Immagine 972"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74" name="Immagine 973"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75" name="Immagine 974"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76" name="Immagine 975"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77" name="Immagine 976"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78" name="Immagine 977"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79" name="Immagine 978"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80" name="Immagine 979"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81" name="Immagine 980"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82" name="Immagine 981"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83" name="Immagine 982"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84" name="Immagine 983"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85" name="Immagine 984"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86" name="Immagine 985"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87" name="Immagine 986"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88" name="Immagine 987"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89" name="Immagine 988"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90" name="Immagine 989"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91" name="Immagine 990"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92" name="Immagine 991"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93" name="Immagine 992"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94" name="Immagine 993"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95" name="Immagine 994"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96" name="Immagine 995"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97" name="Immagine 996"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998" name="Immagine 997"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999" name="Immagine 998"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00" name="Immagine 999"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01" name="Immagine 1000"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02" name="Immagine 1001"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03" name="Immagine 1002"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04" name="Immagine 1003"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05" name="Immagine 1004"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06" name="Immagine 1005"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07" name="Immagine 1006"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08" name="Immagine 1007"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09" name="Immagine 1008"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10" name="Immagine 1009"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11" name="Immagine 1010"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12" name="Immagine 1011"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13" name="Immagine 1012"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14" name="Immagine 1013"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15" name="Immagine 1014"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16" name="Immagine 1015"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17" name="Immagine 1016"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18" name="Immagine 1017"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19" name="Immagine 1018"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20" name="Immagine 1019"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1" name="Immagine 1020"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2" name="Immagine 1021"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3" name="Immagine 1022"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4" name="Immagine 1023"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5" name="Immagine 1024"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6" name="Immagine 1025"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7" name="Immagine 1026"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8" name="Immagine 1027"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29" name="Immagine 1028"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0" name="Immagine 1029"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1" name="Immagine 1030"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2" name="Immagine 1031"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3" name="Immagine 1032"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4" name="Immagine 1033"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5" name="Immagine 1034"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6" name="Immagine 1035"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7" name="Immagine 1036"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8" name="Immagine 1037"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39" name="Immagine 1038"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40" name="Immagine 1039"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41" name="Immagine 1040"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42" name="Immagine 1041"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43" name="Immagine 1042"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44" name="Immagine 1043"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45" name="Immagine 1044"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46" name="Immagine 1045"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47" name="Immagine 1046"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48" name="Immagine 1047"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49" name="Immagine 1048"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50" name="Immagine 1049"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51" name="Immagine 1050"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52" name="Immagine 1051"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53" name="Immagine 1052"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54" name="Immagine 1053"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55" name="Immagine 1054"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56" name="Immagine 1055"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57" name="Immagine 1056"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58" name="Immagine 1057"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59" name="Immagine 1058"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60" name="Immagine 1059"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61" name="Immagine 1060"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62" name="Immagine 1061"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63" name="Immagine 1062"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64" name="Immagine 1063"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65" name="Immagine 1064"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66" name="Immagine 1065"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67" name="Immagine 1066"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68" name="Immagine 1067"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69" name="Immagine 1068"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70" name="Immagine 1069"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1" name="Immagine 1070"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72" name="Immagine 1071"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3" name="Immagine 1072"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74" name="Immagine 1073"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5" name="Immagine 1074"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6" name="Immagine 1075"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7" name="Immagine 1076"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8" name="Immagine 1077"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79" name="Immagine 1078"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0" name="Immagine 1079"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1" name="Immagine 1080"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2" name="Immagine 1081"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3" name="Immagine 1082"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4" name="Immagine 1083"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5" name="Immagine 1084"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6" name="Immagine 1085"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7" name="Immagine 1086"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8" name="Immagine 1087"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89" name="Immagine 1088"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0" name="Immagine 1089"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1" name="Immagine 1090"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2" name="Immagine 1091"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3" name="Immagine 1092"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94" name="Immagine 1093"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5" name="Immagine 1094"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96" name="Immagine 1095"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7" name="Immagine 1096"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098" name="Immagine 1097"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099" name="Immagine 1098"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00" name="Immagine 1099"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01" name="Immagine 1100"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02" name="Immagine 1101"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03" name="Immagine 1102"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04" name="Immagine 1103"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05" name="Immagine 1104"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06" name="Immagine 1105"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07" name="Immagine 1106"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08" name="Immagine 1107"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09" name="Immagine 1108"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10" name="Immagine 1109"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11" name="Immagine 1110"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12" name="Immagine 1111"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13" name="Immagine 1112"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14" name="Immagine 1113"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15" name="Immagine 1114"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16" name="Immagine 1115"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17" name="Immagine 1116"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18" name="Immagine 1117"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19" name="Immagine 1118"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20" name="Immagine 1119"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21" name="Immagine 1120"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22" name="Immagine 1121"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23" name="Immagine 1122"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24" name="Immagine 1123"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25" name="Immagine 1124"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26" name="Immagine 1125"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27" name="Immagine 1126"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28" name="Immagine 1127"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29" name="Immagine 1128"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30" name="Immagine 1129"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31" name="Immagine 1130"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32" name="Immagine 1131"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33" name="Immagine 1132"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34" name="Immagine 1133"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35" name="Immagine 1134"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36" name="Immagine 1135"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37" name="Immagine 1136"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38" name="Immagine 1137"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39" name="Immagine 1138"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40" name="Immagine 1139"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41" name="Immagine 1140"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42" name="Immagine 1141"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43" name="Immagine 1142"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44" name="Immagine 1143"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45" name="Immagine 1144"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46" name="Immagine 1145"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47" name="Immagine 1146"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48" name="Immagine 1147"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49" name="Immagine 1148"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50" name="Immagine 1149"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51" name="Immagine 1150"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52" name="Immagine 1151"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53" name="Immagine 1152"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54" name="Immagine 1153"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55" name="Immagine 1154"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56" name="Immagine 1155"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57" name="Immagine 1156"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58" name="Immagine 1157"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59" name="Immagine 1158"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60" name="Immagine 1159"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61" name="Immagine 1160"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62" name="Immagine 1161"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63" name="Immagine 1162"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64" name="Immagine 1163"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65" name="Immagine 1164"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66" name="Immagine 1165"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67" name="Immagine 1166"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68" name="Immagine 1167"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69" name="Immagine 1168"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70" name="Immagine 1169"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71" name="Immagine 1170"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72" name="Immagine 1171"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73" name="Immagine 1172"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74" name="Immagine 1173"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75" name="Immagine 1174"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76" name="Immagine 1175"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77" name="Immagine 1176"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78" name="Immagine 1177"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79" name="Immagine 1178"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80" name="Immagine 1179"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81" name="Immagine 1180"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82" name="Immagine 1181"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83" name="Immagine 1182"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84" name="Immagine 1183"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85" name="Immagine 1184"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86" name="Immagine 1185"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87" name="Immagine 1186"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88" name="Immagine 1187"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89" name="Immagine 1188"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90" name="Immagine 1189"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91" name="Immagine 1190"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92" name="Immagine 1191"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93" name="Immagine 1192"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94" name="Immagine 1193"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95" name="Immagine 1194"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96" name="Immagine 1195"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97" name="Immagine 1196"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198" name="Immagine 1197"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199" name="Immagine 1198"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00" name="Immagine 1199"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01" name="Immagine 1200"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02" name="Immagine 1201"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03" name="Immagine 1202"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04" name="Immagine 1203"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05" name="Immagine 1204"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06" name="Immagine 1205"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07" name="Immagine 1206"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08" name="Immagine 1207"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09" name="Immagine 1208"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10" name="Immagine 1209"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11" name="Immagine 1210"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12" name="Immagine 1211"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13" name="Immagine 1212"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14" name="Immagine 1213"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15" name="Immagine 1214"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16" name="Immagine 1215"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17" name="Immagine 1216"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18" name="Immagine 1217"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19" name="Immagine 1218"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20" name="Immagine 1219"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21" name="Immagine 1220"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22" name="Immagine 1221"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23" name="Immagine 1222"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24" name="Immagine 1223"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25" name="Immagine 1224"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26" name="Immagine 1225"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27" name="Immagine 1226"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28" name="Immagine 1227"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29" name="Immagine 1228"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30" name="Immagine 1229"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31" name="Immagine 1230"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32" name="Immagine 1231"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33" name="Immagine 1232"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34" name="Immagine 1233"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35" name="Immagine 1234"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36" name="Immagine 1235"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37" name="Immagine 1236"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38" name="Immagine 1237"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39" name="Immagine 1238"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0" name="Immagine 1239"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1" name="Immagine 1240"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2" name="Immagine 1241"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3" name="Immagine 1242"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4" name="Immagine 1243"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5" name="Immagine 1244"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6" name="Immagine 1245"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7" name="Immagine 1246"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8" name="Immagine 1247"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49" name="Immagine 1248"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0" name="Immagine 1249"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1" name="Immagine 1250" descr="http://demaco.consob/ArchiflowWeb/images/indicator.gif">
          <a:extLst>
            <a:ext uri="{FF2B5EF4-FFF2-40B4-BE49-F238E27FC236}">
              <a16:creationId xmlns:a16="http://schemas.microsoft.com/office/drawing/2014/main" id="{00000000-0008-0000-0000-00003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2" name="Immagine 1251" descr="http://demaco.consob/ArchiflowWeb/images/indicator.gif">
          <a:extLst>
            <a:ext uri="{FF2B5EF4-FFF2-40B4-BE49-F238E27FC236}">
              <a16:creationId xmlns:a16="http://schemas.microsoft.com/office/drawing/2014/main" id="{00000000-0008-0000-0000-00003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3" name="Immagine 1252" descr="http://demaco.consob/ArchiflowWeb/images/indicator.gif">
          <a:extLst>
            <a:ext uri="{FF2B5EF4-FFF2-40B4-BE49-F238E27FC236}">
              <a16:creationId xmlns:a16="http://schemas.microsoft.com/office/drawing/2014/main" id="{00000000-0008-0000-0000-00003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4" name="Immagine 1253" descr="http://demaco.consob/ArchiflowWeb/images/indicator.gif">
          <a:extLst>
            <a:ext uri="{FF2B5EF4-FFF2-40B4-BE49-F238E27FC236}">
              <a16:creationId xmlns:a16="http://schemas.microsoft.com/office/drawing/2014/main" id="{00000000-0008-0000-0000-00003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55" name="Immagine 1254" descr="http://demaco.consob/ArchiflowWeb/images/indicator.gif">
          <a:extLst>
            <a:ext uri="{FF2B5EF4-FFF2-40B4-BE49-F238E27FC236}">
              <a16:creationId xmlns:a16="http://schemas.microsoft.com/office/drawing/2014/main" id="{00000000-0008-0000-0000-00003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6" name="Immagine 1255" descr="http://demaco.consob/ArchiflowWeb/images/indicator.gif">
          <a:extLst>
            <a:ext uri="{FF2B5EF4-FFF2-40B4-BE49-F238E27FC236}">
              <a16:creationId xmlns:a16="http://schemas.microsoft.com/office/drawing/2014/main" id="{00000000-0008-0000-0000-00003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57" name="Immagine 1256" descr="http://demaco.consob/ArchiflowWeb/images/indicator.gif">
          <a:extLst>
            <a:ext uri="{FF2B5EF4-FFF2-40B4-BE49-F238E27FC236}">
              <a16:creationId xmlns:a16="http://schemas.microsoft.com/office/drawing/2014/main" id="{00000000-0008-0000-0000-00004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58" name="Immagine 1257" descr="http://demaco.consob/ArchiflowWeb/images/indicator.gif">
          <a:extLst>
            <a:ext uri="{FF2B5EF4-FFF2-40B4-BE49-F238E27FC236}">
              <a16:creationId xmlns:a16="http://schemas.microsoft.com/office/drawing/2014/main" id="{00000000-0008-0000-0000-00004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59" name="Immagine 1258" descr="http://demaco.consob/ArchiflowWeb/images/indicator.gif">
          <a:extLst>
            <a:ext uri="{FF2B5EF4-FFF2-40B4-BE49-F238E27FC236}">
              <a16:creationId xmlns:a16="http://schemas.microsoft.com/office/drawing/2014/main" id="{00000000-0008-0000-0000-00004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60" name="Immagine 1259" descr="http://demaco.consob/ArchiflowWeb/images/indicator.gif">
          <a:extLst>
            <a:ext uri="{FF2B5EF4-FFF2-40B4-BE49-F238E27FC236}">
              <a16:creationId xmlns:a16="http://schemas.microsoft.com/office/drawing/2014/main" id="{00000000-0008-0000-0000-00004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61" name="Immagine 1260" descr="http://demaco.consob/ArchiflowWeb/images/indicator.gif">
          <a:extLst>
            <a:ext uri="{FF2B5EF4-FFF2-40B4-BE49-F238E27FC236}">
              <a16:creationId xmlns:a16="http://schemas.microsoft.com/office/drawing/2014/main" id="{00000000-0008-0000-0000-00004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62" name="Immagine 1261" descr="http://demaco.consob/ArchiflowWeb/images/indicator.gif">
          <a:extLst>
            <a:ext uri="{FF2B5EF4-FFF2-40B4-BE49-F238E27FC236}">
              <a16:creationId xmlns:a16="http://schemas.microsoft.com/office/drawing/2014/main" id="{00000000-0008-0000-0000-00004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63" name="Immagine 1262" descr="http://demaco.consob/ArchiflowWeb/images/indicator.gif">
          <a:extLst>
            <a:ext uri="{FF2B5EF4-FFF2-40B4-BE49-F238E27FC236}">
              <a16:creationId xmlns:a16="http://schemas.microsoft.com/office/drawing/2014/main" id="{00000000-0008-0000-0000-00004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64" name="Immagine 1263" descr="http://demaco.consob/ArchiflowWeb/images/indicator.gif">
          <a:extLst>
            <a:ext uri="{FF2B5EF4-FFF2-40B4-BE49-F238E27FC236}">
              <a16:creationId xmlns:a16="http://schemas.microsoft.com/office/drawing/2014/main" id="{00000000-0008-0000-0000-00004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65" name="Immagine 1264" descr="http://demaco.consob/ArchiflowWeb/images/indicator.gif">
          <a:extLst>
            <a:ext uri="{FF2B5EF4-FFF2-40B4-BE49-F238E27FC236}">
              <a16:creationId xmlns:a16="http://schemas.microsoft.com/office/drawing/2014/main" id="{00000000-0008-0000-0000-00004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66" name="Immagine 1265" descr="http://demaco.consob/ArchiflowWeb/images/indicator.gif">
          <a:extLst>
            <a:ext uri="{FF2B5EF4-FFF2-40B4-BE49-F238E27FC236}">
              <a16:creationId xmlns:a16="http://schemas.microsoft.com/office/drawing/2014/main" id="{00000000-0008-0000-0000-00004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67" name="Immagine 1266" descr="http://demaco.consob/ArchiflowWeb/images/indicator.gif">
          <a:extLst>
            <a:ext uri="{FF2B5EF4-FFF2-40B4-BE49-F238E27FC236}">
              <a16:creationId xmlns:a16="http://schemas.microsoft.com/office/drawing/2014/main" id="{00000000-0008-0000-0000-00004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68" name="Immagine 1267" descr="http://demaco.consob/ArchiflowWeb/images/indicator.gif">
          <a:extLst>
            <a:ext uri="{FF2B5EF4-FFF2-40B4-BE49-F238E27FC236}">
              <a16:creationId xmlns:a16="http://schemas.microsoft.com/office/drawing/2014/main" id="{00000000-0008-0000-0000-00004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69" name="Immagine 1268" descr="http://demaco.consob/ArchiflowWeb/images/indicator.gif">
          <a:extLst>
            <a:ext uri="{FF2B5EF4-FFF2-40B4-BE49-F238E27FC236}">
              <a16:creationId xmlns:a16="http://schemas.microsoft.com/office/drawing/2014/main" id="{00000000-0008-0000-0000-00004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70" name="Immagine 1269" descr="http://demaco.consob/ArchiflowWeb/images/indicator.gif">
          <a:extLst>
            <a:ext uri="{FF2B5EF4-FFF2-40B4-BE49-F238E27FC236}">
              <a16:creationId xmlns:a16="http://schemas.microsoft.com/office/drawing/2014/main" id="{00000000-0008-0000-0000-00004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71" name="Immagine 1270" descr="http://demaco.consob/ArchiflowWeb/images/indicator.gif">
          <a:extLst>
            <a:ext uri="{FF2B5EF4-FFF2-40B4-BE49-F238E27FC236}">
              <a16:creationId xmlns:a16="http://schemas.microsoft.com/office/drawing/2014/main" id="{00000000-0008-0000-0000-00004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72" name="Immagine 1271" descr="http://demaco.consob/ArchiflowWeb/images/indicator.gif">
          <a:extLst>
            <a:ext uri="{FF2B5EF4-FFF2-40B4-BE49-F238E27FC236}">
              <a16:creationId xmlns:a16="http://schemas.microsoft.com/office/drawing/2014/main" id="{00000000-0008-0000-0000-00004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73" name="Immagine 1272" descr="http://demaco.consob/ArchiflowWeb/images/indicator.gif">
          <a:extLst>
            <a:ext uri="{FF2B5EF4-FFF2-40B4-BE49-F238E27FC236}">
              <a16:creationId xmlns:a16="http://schemas.microsoft.com/office/drawing/2014/main" id="{00000000-0008-0000-0000-00005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74" name="Immagine 1273" descr="http://demaco.consob/ArchiflowWeb/images/indicator.gif">
          <a:extLst>
            <a:ext uri="{FF2B5EF4-FFF2-40B4-BE49-F238E27FC236}">
              <a16:creationId xmlns:a16="http://schemas.microsoft.com/office/drawing/2014/main" id="{00000000-0008-0000-0000-00005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75" name="Immagine 1274" descr="http://demaco.consob/ArchiflowWeb/images/indicator.gif">
          <a:extLst>
            <a:ext uri="{FF2B5EF4-FFF2-40B4-BE49-F238E27FC236}">
              <a16:creationId xmlns:a16="http://schemas.microsoft.com/office/drawing/2014/main" id="{00000000-0008-0000-0000-00005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76" name="Immagine 1275" descr="http://demaco.consob/ArchiflowWeb/images/indicator.gif">
          <a:extLst>
            <a:ext uri="{FF2B5EF4-FFF2-40B4-BE49-F238E27FC236}">
              <a16:creationId xmlns:a16="http://schemas.microsoft.com/office/drawing/2014/main" id="{00000000-0008-0000-0000-00005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77" name="Immagine 1276" descr="http://demaco.consob/ArchiflowWeb/images/indicator.gif">
          <a:extLst>
            <a:ext uri="{FF2B5EF4-FFF2-40B4-BE49-F238E27FC236}">
              <a16:creationId xmlns:a16="http://schemas.microsoft.com/office/drawing/2014/main" id="{00000000-0008-0000-0000-00005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78" name="Immagine 1277" descr="http://demaco.consob/ArchiflowWeb/images/indicator.gif">
          <a:extLst>
            <a:ext uri="{FF2B5EF4-FFF2-40B4-BE49-F238E27FC236}">
              <a16:creationId xmlns:a16="http://schemas.microsoft.com/office/drawing/2014/main" id="{00000000-0008-0000-0000-00005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79" name="Immagine 1278" descr="http://demaco.consob/ArchiflowWeb/images/indicator.gif">
          <a:extLst>
            <a:ext uri="{FF2B5EF4-FFF2-40B4-BE49-F238E27FC236}">
              <a16:creationId xmlns:a16="http://schemas.microsoft.com/office/drawing/2014/main" id="{00000000-0008-0000-0000-00005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80" name="Immagine 1279" descr="http://demaco.consob/ArchiflowWeb/images/indicator.gif">
          <a:extLst>
            <a:ext uri="{FF2B5EF4-FFF2-40B4-BE49-F238E27FC236}">
              <a16:creationId xmlns:a16="http://schemas.microsoft.com/office/drawing/2014/main" id="{00000000-0008-0000-0000-00005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81" name="Immagine 1280" descr="http://demaco.consob/ArchiflowWeb/images/indicator.gif">
          <a:extLst>
            <a:ext uri="{FF2B5EF4-FFF2-40B4-BE49-F238E27FC236}">
              <a16:creationId xmlns:a16="http://schemas.microsoft.com/office/drawing/2014/main" id="{00000000-0008-0000-0000-00005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82" name="Immagine 1281" descr="http://demaco.consob/ArchiflowWeb/images/indicator.gif">
          <a:extLst>
            <a:ext uri="{FF2B5EF4-FFF2-40B4-BE49-F238E27FC236}">
              <a16:creationId xmlns:a16="http://schemas.microsoft.com/office/drawing/2014/main" id="{00000000-0008-0000-0000-00005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83" name="Immagine 1282" descr="http://demaco.consob/ArchiflowWeb/images/indicator.gif">
          <a:extLst>
            <a:ext uri="{FF2B5EF4-FFF2-40B4-BE49-F238E27FC236}">
              <a16:creationId xmlns:a16="http://schemas.microsoft.com/office/drawing/2014/main" id="{00000000-0008-0000-0000-00005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84" name="Immagine 1283" descr="http://demaco.consob/ArchiflowWeb/images/indicator.gif">
          <a:extLst>
            <a:ext uri="{FF2B5EF4-FFF2-40B4-BE49-F238E27FC236}">
              <a16:creationId xmlns:a16="http://schemas.microsoft.com/office/drawing/2014/main" id="{00000000-0008-0000-0000-00005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85" name="Immagine 1284" descr="http://demaco.consob/ArchiflowWeb/images/indicator.gif">
          <a:extLst>
            <a:ext uri="{FF2B5EF4-FFF2-40B4-BE49-F238E27FC236}">
              <a16:creationId xmlns:a16="http://schemas.microsoft.com/office/drawing/2014/main" id="{00000000-0008-0000-0000-00005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86" name="Immagine 1285" descr="http://demaco.consob/ArchiflowWeb/images/indicator.gif">
          <a:extLst>
            <a:ext uri="{FF2B5EF4-FFF2-40B4-BE49-F238E27FC236}">
              <a16:creationId xmlns:a16="http://schemas.microsoft.com/office/drawing/2014/main" id="{00000000-0008-0000-0000-00005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87" name="Immagine 1286" descr="http://demaco.consob/ArchiflowWeb/images/indicator.gif">
          <a:extLst>
            <a:ext uri="{FF2B5EF4-FFF2-40B4-BE49-F238E27FC236}">
              <a16:creationId xmlns:a16="http://schemas.microsoft.com/office/drawing/2014/main" id="{00000000-0008-0000-0000-00005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88" name="Immagine 1287" descr="http://demaco.consob/ArchiflowWeb/images/indicator.gif">
          <a:extLst>
            <a:ext uri="{FF2B5EF4-FFF2-40B4-BE49-F238E27FC236}">
              <a16:creationId xmlns:a16="http://schemas.microsoft.com/office/drawing/2014/main" id="{00000000-0008-0000-0000-00005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89" name="Immagine 1288" descr="http://demaco.consob/ArchiflowWeb/images/indicator.gif">
          <a:extLst>
            <a:ext uri="{FF2B5EF4-FFF2-40B4-BE49-F238E27FC236}">
              <a16:creationId xmlns:a16="http://schemas.microsoft.com/office/drawing/2014/main" id="{00000000-0008-0000-0000-00006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90" name="Immagine 1289" descr="http://demaco.consob/ArchiflowWeb/images/indicator.gif">
          <a:extLst>
            <a:ext uri="{FF2B5EF4-FFF2-40B4-BE49-F238E27FC236}">
              <a16:creationId xmlns:a16="http://schemas.microsoft.com/office/drawing/2014/main" id="{00000000-0008-0000-0000-00006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91" name="Immagine 1290" descr="http://demaco.consob/ArchiflowWeb/images/indicator.gif">
          <a:extLst>
            <a:ext uri="{FF2B5EF4-FFF2-40B4-BE49-F238E27FC236}">
              <a16:creationId xmlns:a16="http://schemas.microsoft.com/office/drawing/2014/main" id="{00000000-0008-0000-0000-00006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92" name="Immagine 1291" descr="http://demaco.consob/ArchiflowWeb/images/indicator.gif">
          <a:extLst>
            <a:ext uri="{FF2B5EF4-FFF2-40B4-BE49-F238E27FC236}">
              <a16:creationId xmlns:a16="http://schemas.microsoft.com/office/drawing/2014/main" id="{00000000-0008-0000-0000-00006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93" name="Immagine 1292" descr="http://demaco.consob/ArchiflowWeb/images/indicator.gif">
          <a:extLst>
            <a:ext uri="{FF2B5EF4-FFF2-40B4-BE49-F238E27FC236}">
              <a16:creationId xmlns:a16="http://schemas.microsoft.com/office/drawing/2014/main" id="{00000000-0008-0000-0000-00006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94" name="Immagine 1293" descr="http://demaco.consob/ArchiflowWeb/images/indicator.gif">
          <a:extLst>
            <a:ext uri="{FF2B5EF4-FFF2-40B4-BE49-F238E27FC236}">
              <a16:creationId xmlns:a16="http://schemas.microsoft.com/office/drawing/2014/main" id="{00000000-0008-0000-0000-00006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95" name="Immagine 1294" descr="http://demaco.consob/ArchiflowWeb/images/indicator.gif">
          <a:extLst>
            <a:ext uri="{FF2B5EF4-FFF2-40B4-BE49-F238E27FC236}">
              <a16:creationId xmlns:a16="http://schemas.microsoft.com/office/drawing/2014/main" id="{00000000-0008-0000-0000-00006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96" name="Immagine 1295" descr="http://demaco.consob/ArchiflowWeb/images/indicator.gif">
          <a:extLst>
            <a:ext uri="{FF2B5EF4-FFF2-40B4-BE49-F238E27FC236}">
              <a16:creationId xmlns:a16="http://schemas.microsoft.com/office/drawing/2014/main" id="{00000000-0008-0000-0000-00006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97" name="Immagine 1296" descr="http://demaco.consob/ArchiflowWeb/images/indicator.gif">
          <a:extLst>
            <a:ext uri="{FF2B5EF4-FFF2-40B4-BE49-F238E27FC236}">
              <a16:creationId xmlns:a16="http://schemas.microsoft.com/office/drawing/2014/main" id="{00000000-0008-0000-0000-00006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298" name="Immagine 1297" descr="http://demaco.consob/ArchiflowWeb/images/indicator.gif">
          <a:extLst>
            <a:ext uri="{FF2B5EF4-FFF2-40B4-BE49-F238E27FC236}">
              <a16:creationId xmlns:a16="http://schemas.microsoft.com/office/drawing/2014/main" id="{00000000-0008-0000-0000-00006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299" name="Immagine 1298" descr="http://demaco.consob/ArchiflowWeb/images/indicator.gif">
          <a:extLst>
            <a:ext uri="{FF2B5EF4-FFF2-40B4-BE49-F238E27FC236}">
              <a16:creationId xmlns:a16="http://schemas.microsoft.com/office/drawing/2014/main" id="{00000000-0008-0000-0000-00006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00" name="Immagine 1299" descr="http://demaco.consob/ArchiflowWeb/images/indicator.gif">
          <a:extLst>
            <a:ext uri="{FF2B5EF4-FFF2-40B4-BE49-F238E27FC236}">
              <a16:creationId xmlns:a16="http://schemas.microsoft.com/office/drawing/2014/main" id="{00000000-0008-0000-0000-00006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01" name="Immagine 1300" descr="http://demaco.consob/ArchiflowWeb/images/indicator.gif">
          <a:extLst>
            <a:ext uri="{FF2B5EF4-FFF2-40B4-BE49-F238E27FC236}">
              <a16:creationId xmlns:a16="http://schemas.microsoft.com/office/drawing/2014/main" id="{00000000-0008-0000-0000-00006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02" name="Immagine 1301" descr="http://demaco.consob/ArchiflowWeb/images/indicator.gif">
          <a:extLst>
            <a:ext uri="{FF2B5EF4-FFF2-40B4-BE49-F238E27FC236}">
              <a16:creationId xmlns:a16="http://schemas.microsoft.com/office/drawing/2014/main" id="{00000000-0008-0000-0000-00006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03" name="Immagine 1302" descr="http://demaco.consob/ArchiflowWeb/images/indicator.gif">
          <a:extLst>
            <a:ext uri="{FF2B5EF4-FFF2-40B4-BE49-F238E27FC236}">
              <a16:creationId xmlns:a16="http://schemas.microsoft.com/office/drawing/2014/main" id="{00000000-0008-0000-0000-00006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04" name="Immagine 1303" descr="http://demaco.consob/ArchiflowWeb/images/indicator.gif">
          <a:extLst>
            <a:ext uri="{FF2B5EF4-FFF2-40B4-BE49-F238E27FC236}">
              <a16:creationId xmlns:a16="http://schemas.microsoft.com/office/drawing/2014/main" id="{00000000-0008-0000-0000-00006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05" name="Immagine 1304" descr="http://demaco.consob/ArchiflowWeb/images/indicator.gif">
          <a:extLst>
            <a:ext uri="{FF2B5EF4-FFF2-40B4-BE49-F238E27FC236}">
              <a16:creationId xmlns:a16="http://schemas.microsoft.com/office/drawing/2014/main" id="{00000000-0008-0000-0000-00007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06" name="Immagine 1305" descr="http://demaco.consob/ArchiflowWeb/images/indicator.gif">
          <a:extLst>
            <a:ext uri="{FF2B5EF4-FFF2-40B4-BE49-F238E27FC236}">
              <a16:creationId xmlns:a16="http://schemas.microsoft.com/office/drawing/2014/main" id="{00000000-0008-0000-0000-00007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07" name="Immagine 1306" descr="http://demaco.consob/ArchiflowWeb/images/indicator.gif">
          <a:extLst>
            <a:ext uri="{FF2B5EF4-FFF2-40B4-BE49-F238E27FC236}">
              <a16:creationId xmlns:a16="http://schemas.microsoft.com/office/drawing/2014/main" id="{00000000-0008-0000-0000-00007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08" name="Immagine 1307" descr="http://demaco.consob/ArchiflowWeb/images/indicator.gif">
          <a:extLst>
            <a:ext uri="{FF2B5EF4-FFF2-40B4-BE49-F238E27FC236}">
              <a16:creationId xmlns:a16="http://schemas.microsoft.com/office/drawing/2014/main" id="{00000000-0008-0000-0000-00007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09" name="Immagine 1308" descr="http://demaco.consob/ArchiflowWeb/images/indicator.gif">
          <a:extLst>
            <a:ext uri="{FF2B5EF4-FFF2-40B4-BE49-F238E27FC236}">
              <a16:creationId xmlns:a16="http://schemas.microsoft.com/office/drawing/2014/main" id="{00000000-0008-0000-0000-00007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10" name="Immagine 1309" descr="http://demaco.consob/ArchiflowWeb/images/indicator.gif">
          <a:extLst>
            <a:ext uri="{FF2B5EF4-FFF2-40B4-BE49-F238E27FC236}">
              <a16:creationId xmlns:a16="http://schemas.microsoft.com/office/drawing/2014/main" id="{00000000-0008-0000-0000-00007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11" name="Immagine 1310" descr="http://demaco.consob/ArchiflowWeb/images/indicator.gif">
          <a:extLst>
            <a:ext uri="{FF2B5EF4-FFF2-40B4-BE49-F238E27FC236}">
              <a16:creationId xmlns:a16="http://schemas.microsoft.com/office/drawing/2014/main" id="{00000000-0008-0000-0000-00007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12" name="Immagine 1311" descr="http://demaco.consob/ArchiflowWeb/images/indicator.gif">
          <a:extLst>
            <a:ext uri="{FF2B5EF4-FFF2-40B4-BE49-F238E27FC236}">
              <a16:creationId xmlns:a16="http://schemas.microsoft.com/office/drawing/2014/main" id="{00000000-0008-0000-0000-00007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13" name="Immagine 1312" descr="http://demaco.consob/ArchiflowWeb/images/indicator.gif">
          <a:extLst>
            <a:ext uri="{FF2B5EF4-FFF2-40B4-BE49-F238E27FC236}">
              <a16:creationId xmlns:a16="http://schemas.microsoft.com/office/drawing/2014/main" id="{00000000-0008-0000-0000-00007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14" name="Immagine 1313" descr="http://demaco.consob/ArchiflowWeb/images/indicator.gif">
          <a:extLst>
            <a:ext uri="{FF2B5EF4-FFF2-40B4-BE49-F238E27FC236}">
              <a16:creationId xmlns:a16="http://schemas.microsoft.com/office/drawing/2014/main" id="{00000000-0008-0000-0000-00007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15" name="Immagine 1314" descr="http://demaco.consob/ArchiflowWeb/images/indicator.gif">
          <a:extLst>
            <a:ext uri="{FF2B5EF4-FFF2-40B4-BE49-F238E27FC236}">
              <a16:creationId xmlns:a16="http://schemas.microsoft.com/office/drawing/2014/main" id="{00000000-0008-0000-0000-00007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16" name="Immagine 1315" descr="http://demaco.consob/ArchiflowWeb/images/indicator.gif">
          <a:extLst>
            <a:ext uri="{FF2B5EF4-FFF2-40B4-BE49-F238E27FC236}">
              <a16:creationId xmlns:a16="http://schemas.microsoft.com/office/drawing/2014/main" id="{00000000-0008-0000-0000-00007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17" name="Immagine 1316" descr="http://demaco.consob/ArchiflowWeb/images/indicator.gif">
          <a:extLst>
            <a:ext uri="{FF2B5EF4-FFF2-40B4-BE49-F238E27FC236}">
              <a16:creationId xmlns:a16="http://schemas.microsoft.com/office/drawing/2014/main" id="{00000000-0008-0000-0000-00007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18" name="Immagine 1317" descr="http://demaco.consob/ArchiflowWeb/images/indicator.gif">
          <a:extLst>
            <a:ext uri="{FF2B5EF4-FFF2-40B4-BE49-F238E27FC236}">
              <a16:creationId xmlns:a16="http://schemas.microsoft.com/office/drawing/2014/main" id="{00000000-0008-0000-0000-00007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19" name="Immagine 1318" descr="http://demaco.consob/ArchiflowWeb/images/indicator.gif">
          <a:extLst>
            <a:ext uri="{FF2B5EF4-FFF2-40B4-BE49-F238E27FC236}">
              <a16:creationId xmlns:a16="http://schemas.microsoft.com/office/drawing/2014/main" id="{00000000-0008-0000-0000-00007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20" name="Immagine 1319" descr="http://demaco.consob/ArchiflowWeb/images/indicator.gif">
          <a:extLst>
            <a:ext uri="{FF2B5EF4-FFF2-40B4-BE49-F238E27FC236}">
              <a16:creationId xmlns:a16="http://schemas.microsoft.com/office/drawing/2014/main" id="{00000000-0008-0000-0000-00007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21" name="Immagine 1320" descr="http://demaco.consob/ArchiflowWeb/images/indicator.gif">
          <a:extLst>
            <a:ext uri="{FF2B5EF4-FFF2-40B4-BE49-F238E27FC236}">
              <a16:creationId xmlns:a16="http://schemas.microsoft.com/office/drawing/2014/main" id="{00000000-0008-0000-0000-00008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22" name="Immagine 1321" descr="http://demaco.consob/ArchiflowWeb/images/indicator.gif">
          <a:extLst>
            <a:ext uri="{FF2B5EF4-FFF2-40B4-BE49-F238E27FC236}">
              <a16:creationId xmlns:a16="http://schemas.microsoft.com/office/drawing/2014/main" id="{00000000-0008-0000-0000-00008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23" name="Immagine 1322" descr="http://demaco.consob/ArchiflowWeb/images/indicator.gif">
          <a:extLst>
            <a:ext uri="{FF2B5EF4-FFF2-40B4-BE49-F238E27FC236}">
              <a16:creationId xmlns:a16="http://schemas.microsoft.com/office/drawing/2014/main" id="{00000000-0008-0000-0000-00008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24" name="Immagine 1323" descr="http://demaco.consob/ArchiflowWeb/images/indicator.gif">
          <a:extLst>
            <a:ext uri="{FF2B5EF4-FFF2-40B4-BE49-F238E27FC236}">
              <a16:creationId xmlns:a16="http://schemas.microsoft.com/office/drawing/2014/main" id="{00000000-0008-0000-0000-00008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25" name="Immagine 1324" descr="http://demaco.consob/ArchiflowWeb/images/indicator.gif">
          <a:extLst>
            <a:ext uri="{FF2B5EF4-FFF2-40B4-BE49-F238E27FC236}">
              <a16:creationId xmlns:a16="http://schemas.microsoft.com/office/drawing/2014/main" id="{00000000-0008-0000-0000-00008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26" name="Immagine 1325" descr="http://demaco.consob/ArchiflowWeb/images/indicator.gif">
          <a:extLst>
            <a:ext uri="{FF2B5EF4-FFF2-40B4-BE49-F238E27FC236}">
              <a16:creationId xmlns:a16="http://schemas.microsoft.com/office/drawing/2014/main" id="{00000000-0008-0000-0000-00008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27" name="Immagine 1326" descr="http://demaco.consob/ArchiflowWeb/images/indicator.gif">
          <a:extLst>
            <a:ext uri="{FF2B5EF4-FFF2-40B4-BE49-F238E27FC236}">
              <a16:creationId xmlns:a16="http://schemas.microsoft.com/office/drawing/2014/main" id="{00000000-0008-0000-0000-00008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28" name="Immagine 1327" descr="http://demaco.consob/ArchiflowWeb/images/indicator.gif">
          <a:extLst>
            <a:ext uri="{FF2B5EF4-FFF2-40B4-BE49-F238E27FC236}">
              <a16:creationId xmlns:a16="http://schemas.microsoft.com/office/drawing/2014/main" id="{00000000-0008-0000-0000-00008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29" name="Immagine 1328" descr="http://demaco.consob/ArchiflowWeb/images/indicator.gif">
          <a:extLst>
            <a:ext uri="{FF2B5EF4-FFF2-40B4-BE49-F238E27FC236}">
              <a16:creationId xmlns:a16="http://schemas.microsoft.com/office/drawing/2014/main" id="{00000000-0008-0000-0000-00008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30" name="Immagine 1329" descr="http://demaco.consob/ArchiflowWeb/images/indicator.gif">
          <a:extLst>
            <a:ext uri="{FF2B5EF4-FFF2-40B4-BE49-F238E27FC236}">
              <a16:creationId xmlns:a16="http://schemas.microsoft.com/office/drawing/2014/main" id="{00000000-0008-0000-0000-00008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1" name="Immagine 1330" descr="http://demaco.consob/ArchiflowWeb/images/indicator.gif">
          <a:extLst>
            <a:ext uri="{FF2B5EF4-FFF2-40B4-BE49-F238E27FC236}">
              <a16:creationId xmlns:a16="http://schemas.microsoft.com/office/drawing/2014/main" id="{00000000-0008-0000-0000-00008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32" name="Immagine 1331" descr="http://demaco.consob/ArchiflowWeb/images/indicator.gif">
          <a:extLst>
            <a:ext uri="{FF2B5EF4-FFF2-40B4-BE49-F238E27FC236}">
              <a16:creationId xmlns:a16="http://schemas.microsoft.com/office/drawing/2014/main" id="{00000000-0008-0000-0000-00008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3" name="Immagine 1332" descr="http://demaco.consob/ArchiflowWeb/images/indicator.gif">
          <a:extLst>
            <a:ext uri="{FF2B5EF4-FFF2-40B4-BE49-F238E27FC236}">
              <a16:creationId xmlns:a16="http://schemas.microsoft.com/office/drawing/2014/main" id="{00000000-0008-0000-0000-00008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4" name="Immagine 1333" descr="http://demaco.consob/ArchiflowWeb/images/indicator.gif">
          <a:extLst>
            <a:ext uri="{FF2B5EF4-FFF2-40B4-BE49-F238E27FC236}">
              <a16:creationId xmlns:a16="http://schemas.microsoft.com/office/drawing/2014/main" id="{00000000-0008-0000-0000-00008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5" name="Immagine 1334" descr="http://demaco.consob/ArchiflowWeb/images/indicator.gif">
          <a:extLst>
            <a:ext uri="{FF2B5EF4-FFF2-40B4-BE49-F238E27FC236}">
              <a16:creationId xmlns:a16="http://schemas.microsoft.com/office/drawing/2014/main" id="{00000000-0008-0000-0000-00008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6" name="Immagine 1335" descr="http://demaco.consob/ArchiflowWeb/images/indicator.gif">
          <a:extLst>
            <a:ext uri="{FF2B5EF4-FFF2-40B4-BE49-F238E27FC236}">
              <a16:creationId xmlns:a16="http://schemas.microsoft.com/office/drawing/2014/main" id="{00000000-0008-0000-0000-00008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7" name="Immagine 1336" descr="http://demaco.consob/ArchiflowWeb/images/indicator.gif">
          <a:extLst>
            <a:ext uri="{FF2B5EF4-FFF2-40B4-BE49-F238E27FC236}">
              <a16:creationId xmlns:a16="http://schemas.microsoft.com/office/drawing/2014/main" id="{00000000-0008-0000-0000-00009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8" name="Immagine 1337" descr="http://demaco.consob/ArchiflowWeb/images/indicator.gif">
          <a:extLst>
            <a:ext uri="{FF2B5EF4-FFF2-40B4-BE49-F238E27FC236}">
              <a16:creationId xmlns:a16="http://schemas.microsoft.com/office/drawing/2014/main" id="{00000000-0008-0000-0000-00009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39" name="Immagine 1338" descr="http://demaco.consob/ArchiflowWeb/images/indicator.gif">
          <a:extLst>
            <a:ext uri="{FF2B5EF4-FFF2-40B4-BE49-F238E27FC236}">
              <a16:creationId xmlns:a16="http://schemas.microsoft.com/office/drawing/2014/main" id="{00000000-0008-0000-0000-00009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0" name="Immagine 1339" descr="http://demaco.consob/ArchiflowWeb/images/indicator.gif">
          <a:extLst>
            <a:ext uri="{FF2B5EF4-FFF2-40B4-BE49-F238E27FC236}">
              <a16:creationId xmlns:a16="http://schemas.microsoft.com/office/drawing/2014/main" id="{00000000-0008-0000-0000-00009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1" name="Immagine 1340" descr="http://demaco.consob/ArchiflowWeb/images/indicator.gif">
          <a:extLst>
            <a:ext uri="{FF2B5EF4-FFF2-40B4-BE49-F238E27FC236}">
              <a16:creationId xmlns:a16="http://schemas.microsoft.com/office/drawing/2014/main" id="{00000000-0008-0000-0000-00009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2" name="Immagine 1341" descr="http://demaco.consob/ArchiflowWeb/images/indicator.gif">
          <a:extLst>
            <a:ext uri="{FF2B5EF4-FFF2-40B4-BE49-F238E27FC236}">
              <a16:creationId xmlns:a16="http://schemas.microsoft.com/office/drawing/2014/main" id="{00000000-0008-0000-0000-00009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3" name="Immagine 1342" descr="http://demaco.consob/ArchiflowWeb/images/indicator.gif">
          <a:extLst>
            <a:ext uri="{FF2B5EF4-FFF2-40B4-BE49-F238E27FC236}">
              <a16:creationId xmlns:a16="http://schemas.microsoft.com/office/drawing/2014/main" id="{00000000-0008-0000-0000-00009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4" name="Immagine 1343" descr="http://demaco.consob/ArchiflowWeb/images/indicator.gif">
          <a:extLst>
            <a:ext uri="{FF2B5EF4-FFF2-40B4-BE49-F238E27FC236}">
              <a16:creationId xmlns:a16="http://schemas.microsoft.com/office/drawing/2014/main" id="{00000000-0008-0000-0000-00009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5" name="Immagine 1344" descr="http://demaco.consob/ArchiflowWeb/images/indicator.gif">
          <a:extLst>
            <a:ext uri="{FF2B5EF4-FFF2-40B4-BE49-F238E27FC236}">
              <a16:creationId xmlns:a16="http://schemas.microsoft.com/office/drawing/2014/main" id="{00000000-0008-0000-0000-00009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6" name="Immagine 1345" descr="http://demaco.consob/ArchiflowWeb/images/indicator.gif">
          <a:extLst>
            <a:ext uri="{FF2B5EF4-FFF2-40B4-BE49-F238E27FC236}">
              <a16:creationId xmlns:a16="http://schemas.microsoft.com/office/drawing/2014/main" id="{00000000-0008-0000-0000-00009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7" name="Immagine 1346" descr="http://demaco.consob/ArchiflowWeb/images/indicator.gif">
          <a:extLst>
            <a:ext uri="{FF2B5EF4-FFF2-40B4-BE49-F238E27FC236}">
              <a16:creationId xmlns:a16="http://schemas.microsoft.com/office/drawing/2014/main" id="{00000000-0008-0000-0000-00009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8" name="Immagine 1347" descr="http://demaco.consob/ArchiflowWeb/images/indicator.gif">
          <a:extLst>
            <a:ext uri="{FF2B5EF4-FFF2-40B4-BE49-F238E27FC236}">
              <a16:creationId xmlns:a16="http://schemas.microsoft.com/office/drawing/2014/main" id="{00000000-0008-0000-0000-00009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49" name="Immagine 1348" descr="http://demaco.consob/ArchiflowWeb/images/indicator.gif">
          <a:extLst>
            <a:ext uri="{FF2B5EF4-FFF2-40B4-BE49-F238E27FC236}">
              <a16:creationId xmlns:a16="http://schemas.microsoft.com/office/drawing/2014/main" id="{00000000-0008-0000-0000-00009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0" name="Immagine 1349" descr="http://demaco.consob/ArchiflowWeb/images/indicator.gif">
          <a:extLst>
            <a:ext uri="{FF2B5EF4-FFF2-40B4-BE49-F238E27FC236}">
              <a16:creationId xmlns:a16="http://schemas.microsoft.com/office/drawing/2014/main" id="{00000000-0008-0000-0000-00009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1" name="Immagine 1350" descr="http://demaco.consob/ArchiflowWeb/images/indicator.gif">
          <a:extLst>
            <a:ext uri="{FF2B5EF4-FFF2-40B4-BE49-F238E27FC236}">
              <a16:creationId xmlns:a16="http://schemas.microsoft.com/office/drawing/2014/main" id="{00000000-0008-0000-0000-00009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52" name="Immagine 1351" descr="http://demaco.consob/ArchiflowWeb/images/indicator.gif">
          <a:extLst>
            <a:ext uri="{FF2B5EF4-FFF2-40B4-BE49-F238E27FC236}">
              <a16:creationId xmlns:a16="http://schemas.microsoft.com/office/drawing/2014/main" id="{00000000-0008-0000-0000-00009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3" name="Immagine 1352" descr="http://demaco.consob/ArchiflowWeb/images/indicator.gif">
          <a:extLst>
            <a:ext uri="{FF2B5EF4-FFF2-40B4-BE49-F238E27FC236}">
              <a16:creationId xmlns:a16="http://schemas.microsoft.com/office/drawing/2014/main" id="{00000000-0008-0000-0000-0000A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54" name="Immagine 1353" descr="http://demaco.consob/ArchiflowWeb/images/indicator.gif">
          <a:extLst>
            <a:ext uri="{FF2B5EF4-FFF2-40B4-BE49-F238E27FC236}">
              <a16:creationId xmlns:a16="http://schemas.microsoft.com/office/drawing/2014/main" id="{00000000-0008-0000-0000-0000A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5" name="Immagine 1354" descr="http://demaco.consob/ArchiflowWeb/images/indicator.gif">
          <a:extLst>
            <a:ext uri="{FF2B5EF4-FFF2-40B4-BE49-F238E27FC236}">
              <a16:creationId xmlns:a16="http://schemas.microsoft.com/office/drawing/2014/main" id="{00000000-0008-0000-0000-0000A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56" name="Immagine 1355" descr="http://demaco.consob/ArchiflowWeb/images/indicator.gif">
          <a:extLst>
            <a:ext uri="{FF2B5EF4-FFF2-40B4-BE49-F238E27FC236}">
              <a16:creationId xmlns:a16="http://schemas.microsoft.com/office/drawing/2014/main" id="{00000000-0008-0000-0000-0000A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7" name="Immagine 1356" descr="http://demaco.consob/ArchiflowWeb/images/indicator.gif">
          <a:extLst>
            <a:ext uri="{FF2B5EF4-FFF2-40B4-BE49-F238E27FC236}">
              <a16:creationId xmlns:a16="http://schemas.microsoft.com/office/drawing/2014/main" id="{00000000-0008-0000-0000-0000A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58" name="Immagine 1357" descr="http://demaco.consob/ArchiflowWeb/images/indicator.gif">
          <a:extLst>
            <a:ext uri="{FF2B5EF4-FFF2-40B4-BE49-F238E27FC236}">
              <a16:creationId xmlns:a16="http://schemas.microsoft.com/office/drawing/2014/main" id="{00000000-0008-0000-0000-0000A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59" name="Immagine 1358" descr="http://demaco.consob/ArchiflowWeb/images/indicator.gif">
          <a:extLst>
            <a:ext uri="{FF2B5EF4-FFF2-40B4-BE49-F238E27FC236}">
              <a16:creationId xmlns:a16="http://schemas.microsoft.com/office/drawing/2014/main" id="{00000000-0008-0000-0000-0000A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60" name="Immagine 1359" descr="http://demaco.consob/ArchiflowWeb/images/indicator.gif">
          <a:extLst>
            <a:ext uri="{FF2B5EF4-FFF2-40B4-BE49-F238E27FC236}">
              <a16:creationId xmlns:a16="http://schemas.microsoft.com/office/drawing/2014/main" id="{00000000-0008-0000-0000-0000A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61" name="Immagine 1360" descr="http://demaco.consob/ArchiflowWeb/images/indicator.gif">
          <a:extLst>
            <a:ext uri="{FF2B5EF4-FFF2-40B4-BE49-F238E27FC236}">
              <a16:creationId xmlns:a16="http://schemas.microsoft.com/office/drawing/2014/main" id="{00000000-0008-0000-0000-0000A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62" name="Immagine 1361" descr="http://demaco.consob/ArchiflowWeb/images/indicator.gif">
          <a:extLst>
            <a:ext uri="{FF2B5EF4-FFF2-40B4-BE49-F238E27FC236}">
              <a16:creationId xmlns:a16="http://schemas.microsoft.com/office/drawing/2014/main" id="{00000000-0008-0000-0000-0000A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63" name="Immagine 1362" descr="http://demaco.consob/ArchiflowWeb/images/indicator.gif">
          <a:extLst>
            <a:ext uri="{FF2B5EF4-FFF2-40B4-BE49-F238E27FC236}">
              <a16:creationId xmlns:a16="http://schemas.microsoft.com/office/drawing/2014/main" id="{00000000-0008-0000-0000-0000A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64" name="Immagine 1363" descr="http://demaco.consob/ArchiflowWeb/images/indicator.gif">
          <a:extLst>
            <a:ext uri="{FF2B5EF4-FFF2-40B4-BE49-F238E27FC236}">
              <a16:creationId xmlns:a16="http://schemas.microsoft.com/office/drawing/2014/main" id="{00000000-0008-0000-0000-0000A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65" name="Immagine 1364" descr="http://demaco.consob/ArchiflowWeb/images/indicator.gif">
          <a:extLst>
            <a:ext uri="{FF2B5EF4-FFF2-40B4-BE49-F238E27FC236}">
              <a16:creationId xmlns:a16="http://schemas.microsoft.com/office/drawing/2014/main" id="{00000000-0008-0000-0000-0000A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66" name="Immagine 1365" descr="http://demaco.consob/ArchiflowWeb/images/indicator.gif">
          <a:extLst>
            <a:ext uri="{FF2B5EF4-FFF2-40B4-BE49-F238E27FC236}">
              <a16:creationId xmlns:a16="http://schemas.microsoft.com/office/drawing/2014/main" id="{00000000-0008-0000-0000-0000A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67" name="Immagine 1366" descr="http://demaco.consob/ArchiflowWeb/images/indicator.gif">
          <a:extLst>
            <a:ext uri="{FF2B5EF4-FFF2-40B4-BE49-F238E27FC236}">
              <a16:creationId xmlns:a16="http://schemas.microsoft.com/office/drawing/2014/main" id="{00000000-0008-0000-0000-0000A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68" name="Immagine 1367" descr="http://demaco.consob/ArchiflowWeb/images/indicator.gif">
          <a:extLst>
            <a:ext uri="{FF2B5EF4-FFF2-40B4-BE49-F238E27FC236}">
              <a16:creationId xmlns:a16="http://schemas.microsoft.com/office/drawing/2014/main" id="{00000000-0008-0000-0000-0000A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69" name="Immagine 1368" descr="http://demaco.consob/ArchiflowWeb/images/indicator.gif">
          <a:extLst>
            <a:ext uri="{FF2B5EF4-FFF2-40B4-BE49-F238E27FC236}">
              <a16:creationId xmlns:a16="http://schemas.microsoft.com/office/drawing/2014/main" id="{00000000-0008-0000-0000-0000B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70" name="Immagine 1369" descr="http://demaco.consob/ArchiflowWeb/images/indicator.gif">
          <a:extLst>
            <a:ext uri="{FF2B5EF4-FFF2-40B4-BE49-F238E27FC236}">
              <a16:creationId xmlns:a16="http://schemas.microsoft.com/office/drawing/2014/main" id="{00000000-0008-0000-0000-0000B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71" name="Immagine 1370" descr="http://demaco.consob/ArchiflowWeb/images/indicator.gif">
          <a:extLst>
            <a:ext uri="{FF2B5EF4-FFF2-40B4-BE49-F238E27FC236}">
              <a16:creationId xmlns:a16="http://schemas.microsoft.com/office/drawing/2014/main" id="{00000000-0008-0000-0000-0000B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72" name="Immagine 1371" descr="http://demaco.consob/ArchiflowWeb/images/indicator.gif">
          <a:extLst>
            <a:ext uri="{FF2B5EF4-FFF2-40B4-BE49-F238E27FC236}">
              <a16:creationId xmlns:a16="http://schemas.microsoft.com/office/drawing/2014/main" id="{00000000-0008-0000-0000-0000B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73" name="Immagine 1372" descr="http://demaco.consob/ArchiflowWeb/images/indicator.gif">
          <a:extLst>
            <a:ext uri="{FF2B5EF4-FFF2-40B4-BE49-F238E27FC236}">
              <a16:creationId xmlns:a16="http://schemas.microsoft.com/office/drawing/2014/main" id="{00000000-0008-0000-0000-0000B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74" name="Immagine 1373" descr="http://demaco.consob/ArchiflowWeb/images/indicator.gif">
          <a:extLst>
            <a:ext uri="{FF2B5EF4-FFF2-40B4-BE49-F238E27FC236}">
              <a16:creationId xmlns:a16="http://schemas.microsoft.com/office/drawing/2014/main" id="{00000000-0008-0000-0000-0000B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75" name="Immagine 1374" descr="http://demaco.consob/ArchiflowWeb/images/indicator.gif">
          <a:extLst>
            <a:ext uri="{FF2B5EF4-FFF2-40B4-BE49-F238E27FC236}">
              <a16:creationId xmlns:a16="http://schemas.microsoft.com/office/drawing/2014/main" id="{00000000-0008-0000-0000-0000B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76" name="Immagine 1375" descr="http://demaco.consob/ArchiflowWeb/images/indicator.gif">
          <a:extLst>
            <a:ext uri="{FF2B5EF4-FFF2-40B4-BE49-F238E27FC236}">
              <a16:creationId xmlns:a16="http://schemas.microsoft.com/office/drawing/2014/main" id="{00000000-0008-0000-0000-0000B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77" name="Immagine 1376" descr="http://demaco.consob/ArchiflowWeb/images/indicator.gif">
          <a:extLst>
            <a:ext uri="{FF2B5EF4-FFF2-40B4-BE49-F238E27FC236}">
              <a16:creationId xmlns:a16="http://schemas.microsoft.com/office/drawing/2014/main" id="{00000000-0008-0000-0000-0000B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78" name="Immagine 1377" descr="http://demaco.consob/ArchiflowWeb/images/indicator.gif">
          <a:extLst>
            <a:ext uri="{FF2B5EF4-FFF2-40B4-BE49-F238E27FC236}">
              <a16:creationId xmlns:a16="http://schemas.microsoft.com/office/drawing/2014/main" id="{00000000-0008-0000-0000-0000B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79" name="Immagine 1378" descr="http://demaco.consob/ArchiflowWeb/images/indicator.gif">
          <a:extLst>
            <a:ext uri="{FF2B5EF4-FFF2-40B4-BE49-F238E27FC236}">
              <a16:creationId xmlns:a16="http://schemas.microsoft.com/office/drawing/2014/main" id="{00000000-0008-0000-0000-0000B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80" name="Immagine 1379" descr="http://demaco.consob/ArchiflowWeb/images/indicator.gif">
          <a:extLst>
            <a:ext uri="{FF2B5EF4-FFF2-40B4-BE49-F238E27FC236}">
              <a16:creationId xmlns:a16="http://schemas.microsoft.com/office/drawing/2014/main" id="{00000000-0008-0000-0000-0000B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1" name="Immagine 1380" descr="http://demaco.consob/ArchiflowWeb/images/indicator.gif">
          <a:extLst>
            <a:ext uri="{FF2B5EF4-FFF2-40B4-BE49-F238E27FC236}">
              <a16:creationId xmlns:a16="http://schemas.microsoft.com/office/drawing/2014/main" id="{00000000-0008-0000-0000-0000B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82" name="Immagine 1381" descr="http://demaco.consob/ArchiflowWeb/images/indicator.gif">
          <a:extLst>
            <a:ext uri="{FF2B5EF4-FFF2-40B4-BE49-F238E27FC236}">
              <a16:creationId xmlns:a16="http://schemas.microsoft.com/office/drawing/2014/main" id="{00000000-0008-0000-0000-0000B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3" name="Immagine 1382" descr="http://demaco.consob/ArchiflowWeb/images/indicator.gif">
          <a:extLst>
            <a:ext uri="{FF2B5EF4-FFF2-40B4-BE49-F238E27FC236}">
              <a16:creationId xmlns:a16="http://schemas.microsoft.com/office/drawing/2014/main" id="{00000000-0008-0000-0000-0000B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84" name="Immagine 1383" descr="http://demaco.consob/ArchiflowWeb/images/indicator.gif">
          <a:extLst>
            <a:ext uri="{FF2B5EF4-FFF2-40B4-BE49-F238E27FC236}">
              <a16:creationId xmlns:a16="http://schemas.microsoft.com/office/drawing/2014/main" id="{00000000-0008-0000-0000-0000B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5" name="Immagine 1384" descr="http://demaco.consob/ArchiflowWeb/images/indicator.gif">
          <a:extLst>
            <a:ext uri="{FF2B5EF4-FFF2-40B4-BE49-F238E27FC236}">
              <a16:creationId xmlns:a16="http://schemas.microsoft.com/office/drawing/2014/main" id="{00000000-0008-0000-0000-0000C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386" name="Immagine 1385" descr="http://demaco.consob/ArchiflowWeb/images/indicator.gif">
          <a:extLst>
            <a:ext uri="{FF2B5EF4-FFF2-40B4-BE49-F238E27FC236}">
              <a16:creationId xmlns:a16="http://schemas.microsoft.com/office/drawing/2014/main" id="{00000000-0008-0000-0000-0000C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7" name="Immagine 1386" descr="http://demaco.consob/ArchiflowWeb/images/indicator.gif">
          <a:extLst>
            <a:ext uri="{FF2B5EF4-FFF2-40B4-BE49-F238E27FC236}">
              <a16:creationId xmlns:a16="http://schemas.microsoft.com/office/drawing/2014/main" id="{00000000-0008-0000-0000-0000C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8" name="Immagine 1387" descr="http://demaco.consob/ArchiflowWeb/images/indicator.gif">
          <a:extLst>
            <a:ext uri="{FF2B5EF4-FFF2-40B4-BE49-F238E27FC236}">
              <a16:creationId xmlns:a16="http://schemas.microsoft.com/office/drawing/2014/main" id="{00000000-0008-0000-0000-0000C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89" name="Immagine 1388" descr="http://demaco.consob/ArchiflowWeb/images/indicator.gif">
          <a:extLst>
            <a:ext uri="{FF2B5EF4-FFF2-40B4-BE49-F238E27FC236}">
              <a16:creationId xmlns:a16="http://schemas.microsoft.com/office/drawing/2014/main" id="{00000000-0008-0000-0000-0000C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0" name="Immagine 1389" descr="http://demaco.consob/ArchiflowWeb/images/indicator.gif">
          <a:extLst>
            <a:ext uri="{FF2B5EF4-FFF2-40B4-BE49-F238E27FC236}">
              <a16:creationId xmlns:a16="http://schemas.microsoft.com/office/drawing/2014/main" id="{00000000-0008-0000-0000-0000C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1" name="Immagine 1390" descr="http://demaco.consob/ArchiflowWeb/images/indicator.gif">
          <a:extLst>
            <a:ext uri="{FF2B5EF4-FFF2-40B4-BE49-F238E27FC236}">
              <a16:creationId xmlns:a16="http://schemas.microsoft.com/office/drawing/2014/main" id="{00000000-0008-0000-0000-0000C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2" name="Immagine 1391" descr="http://demaco.consob/ArchiflowWeb/images/indicator.gif">
          <a:extLst>
            <a:ext uri="{FF2B5EF4-FFF2-40B4-BE49-F238E27FC236}">
              <a16:creationId xmlns:a16="http://schemas.microsoft.com/office/drawing/2014/main" id="{00000000-0008-0000-0000-0000C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3" name="Immagine 1392" descr="http://demaco.consob/ArchiflowWeb/images/indicator.gif">
          <a:extLst>
            <a:ext uri="{FF2B5EF4-FFF2-40B4-BE49-F238E27FC236}">
              <a16:creationId xmlns:a16="http://schemas.microsoft.com/office/drawing/2014/main" id="{00000000-0008-0000-0000-0000C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4" name="Immagine 1393" descr="http://demaco.consob/ArchiflowWeb/images/indicator.gif">
          <a:extLst>
            <a:ext uri="{FF2B5EF4-FFF2-40B4-BE49-F238E27FC236}">
              <a16:creationId xmlns:a16="http://schemas.microsoft.com/office/drawing/2014/main" id="{00000000-0008-0000-0000-0000C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5" name="Immagine 1394" descr="http://demaco.consob/ArchiflowWeb/images/indicator.gif">
          <a:extLst>
            <a:ext uri="{FF2B5EF4-FFF2-40B4-BE49-F238E27FC236}">
              <a16:creationId xmlns:a16="http://schemas.microsoft.com/office/drawing/2014/main" id="{00000000-0008-0000-0000-0000C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6" name="Immagine 1395" descr="http://demaco.consob/ArchiflowWeb/images/indicator.gif">
          <a:extLst>
            <a:ext uri="{FF2B5EF4-FFF2-40B4-BE49-F238E27FC236}">
              <a16:creationId xmlns:a16="http://schemas.microsoft.com/office/drawing/2014/main" id="{00000000-0008-0000-0000-0000C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7" name="Immagine 1396" descr="http://demaco.consob/ArchiflowWeb/images/indicator.gif">
          <a:extLst>
            <a:ext uri="{FF2B5EF4-FFF2-40B4-BE49-F238E27FC236}">
              <a16:creationId xmlns:a16="http://schemas.microsoft.com/office/drawing/2014/main" id="{00000000-0008-0000-0000-0000C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8" name="Immagine 1397" descr="http://demaco.consob/ArchiflowWeb/images/indicator.gif">
          <a:extLst>
            <a:ext uri="{FF2B5EF4-FFF2-40B4-BE49-F238E27FC236}">
              <a16:creationId xmlns:a16="http://schemas.microsoft.com/office/drawing/2014/main" id="{00000000-0008-0000-0000-0000C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399" name="Immagine 1398" descr="http://demaco.consob/ArchiflowWeb/images/indicator.gif">
          <a:extLst>
            <a:ext uri="{FF2B5EF4-FFF2-40B4-BE49-F238E27FC236}">
              <a16:creationId xmlns:a16="http://schemas.microsoft.com/office/drawing/2014/main" id="{00000000-0008-0000-0000-0000C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0" name="Immagine 1399" descr="http://demaco.consob/ArchiflowWeb/images/indicator.gif">
          <a:extLst>
            <a:ext uri="{FF2B5EF4-FFF2-40B4-BE49-F238E27FC236}">
              <a16:creationId xmlns:a16="http://schemas.microsoft.com/office/drawing/2014/main" id="{00000000-0008-0000-0000-0000C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1" name="Immagine 1400" descr="http://demaco.consob/ArchiflowWeb/images/indicator.gif">
          <a:extLst>
            <a:ext uri="{FF2B5EF4-FFF2-40B4-BE49-F238E27FC236}">
              <a16:creationId xmlns:a16="http://schemas.microsoft.com/office/drawing/2014/main" id="{00000000-0008-0000-0000-0000D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2" name="Immagine 1401" descr="http://demaco.consob/ArchiflowWeb/images/indicator.gif">
          <a:extLst>
            <a:ext uri="{FF2B5EF4-FFF2-40B4-BE49-F238E27FC236}">
              <a16:creationId xmlns:a16="http://schemas.microsoft.com/office/drawing/2014/main" id="{00000000-0008-0000-0000-0000D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3" name="Immagine 1402" descr="http://demaco.consob/ArchiflowWeb/images/indicator.gif">
          <a:extLst>
            <a:ext uri="{FF2B5EF4-FFF2-40B4-BE49-F238E27FC236}">
              <a16:creationId xmlns:a16="http://schemas.microsoft.com/office/drawing/2014/main" id="{00000000-0008-0000-0000-0000D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4" name="Immagine 1403" descr="http://demaco.consob/ArchiflowWeb/images/indicator.gif">
          <a:extLst>
            <a:ext uri="{FF2B5EF4-FFF2-40B4-BE49-F238E27FC236}">
              <a16:creationId xmlns:a16="http://schemas.microsoft.com/office/drawing/2014/main" id="{00000000-0008-0000-0000-0000D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5" name="Immagine 1404" descr="http://demaco.consob/ArchiflowWeb/images/indicator.gif">
          <a:extLst>
            <a:ext uri="{FF2B5EF4-FFF2-40B4-BE49-F238E27FC236}">
              <a16:creationId xmlns:a16="http://schemas.microsoft.com/office/drawing/2014/main" id="{00000000-0008-0000-0000-0000D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06" name="Immagine 1405" descr="http://demaco.consob/ArchiflowWeb/images/indicator.gif">
          <a:extLst>
            <a:ext uri="{FF2B5EF4-FFF2-40B4-BE49-F238E27FC236}">
              <a16:creationId xmlns:a16="http://schemas.microsoft.com/office/drawing/2014/main" id="{00000000-0008-0000-0000-0000D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7" name="Immagine 1406" descr="http://demaco.consob/ArchiflowWeb/images/indicator.gif">
          <a:extLst>
            <a:ext uri="{FF2B5EF4-FFF2-40B4-BE49-F238E27FC236}">
              <a16:creationId xmlns:a16="http://schemas.microsoft.com/office/drawing/2014/main" id="{00000000-0008-0000-0000-0000D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08" name="Immagine 1407" descr="http://demaco.consob/ArchiflowWeb/images/indicator.gif">
          <a:extLst>
            <a:ext uri="{FF2B5EF4-FFF2-40B4-BE49-F238E27FC236}">
              <a16:creationId xmlns:a16="http://schemas.microsoft.com/office/drawing/2014/main" id="{00000000-0008-0000-0000-0000D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09" name="Immagine 1408" descr="http://demaco.consob/ArchiflowWeb/images/indicator.gif">
          <a:extLst>
            <a:ext uri="{FF2B5EF4-FFF2-40B4-BE49-F238E27FC236}">
              <a16:creationId xmlns:a16="http://schemas.microsoft.com/office/drawing/2014/main" id="{00000000-0008-0000-0000-0000D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10" name="Immagine 1409" descr="http://demaco.consob/ArchiflowWeb/images/indicator.gif">
          <a:extLst>
            <a:ext uri="{FF2B5EF4-FFF2-40B4-BE49-F238E27FC236}">
              <a16:creationId xmlns:a16="http://schemas.microsoft.com/office/drawing/2014/main" id="{00000000-0008-0000-0000-0000D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11" name="Immagine 1410" descr="http://demaco.consob/ArchiflowWeb/images/indicator.gif">
          <a:extLst>
            <a:ext uri="{FF2B5EF4-FFF2-40B4-BE49-F238E27FC236}">
              <a16:creationId xmlns:a16="http://schemas.microsoft.com/office/drawing/2014/main" id="{00000000-0008-0000-0000-0000D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12" name="Immagine 1411" descr="http://demaco.consob/ArchiflowWeb/images/indicator.gif">
          <a:extLst>
            <a:ext uri="{FF2B5EF4-FFF2-40B4-BE49-F238E27FC236}">
              <a16:creationId xmlns:a16="http://schemas.microsoft.com/office/drawing/2014/main" id="{00000000-0008-0000-0000-0000D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13" name="Immagine 1412" descr="http://demaco.consob/ArchiflowWeb/images/indicator.gif">
          <a:extLst>
            <a:ext uri="{FF2B5EF4-FFF2-40B4-BE49-F238E27FC236}">
              <a16:creationId xmlns:a16="http://schemas.microsoft.com/office/drawing/2014/main" id="{00000000-0008-0000-0000-0000D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14" name="Immagine 1413" descr="http://demaco.consob/ArchiflowWeb/images/indicator.gif">
          <a:extLst>
            <a:ext uri="{FF2B5EF4-FFF2-40B4-BE49-F238E27FC236}">
              <a16:creationId xmlns:a16="http://schemas.microsoft.com/office/drawing/2014/main" id="{00000000-0008-0000-0000-0000D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15" name="Immagine 1414" descr="http://demaco.consob/ArchiflowWeb/images/indicator.gif">
          <a:extLst>
            <a:ext uri="{FF2B5EF4-FFF2-40B4-BE49-F238E27FC236}">
              <a16:creationId xmlns:a16="http://schemas.microsoft.com/office/drawing/2014/main" id="{00000000-0008-0000-0000-0000D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16" name="Immagine 1415" descr="http://demaco.consob/ArchiflowWeb/images/indicator.gif">
          <a:extLst>
            <a:ext uri="{FF2B5EF4-FFF2-40B4-BE49-F238E27FC236}">
              <a16:creationId xmlns:a16="http://schemas.microsoft.com/office/drawing/2014/main" id="{00000000-0008-0000-0000-0000D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17" name="Immagine 1416" descr="http://demaco.consob/ArchiflowWeb/images/indicator.gif">
          <a:extLst>
            <a:ext uri="{FF2B5EF4-FFF2-40B4-BE49-F238E27FC236}">
              <a16:creationId xmlns:a16="http://schemas.microsoft.com/office/drawing/2014/main" id="{00000000-0008-0000-0000-0000E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18" name="Immagine 1417" descr="http://demaco.consob/ArchiflowWeb/images/indicator.gif">
          <a:extLst>
            <a:ext uri="{FF2B5EF4-FFF2-40B4-BE49-F238E27FC236}">
              <a16:creationId xmlns:a16="http://schemas.microsoft.com/office/drawing/2014/main" id="{00000000-0008-0000-0000-0000E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19" name="Immagine 1418" descr="http://demaco.consob/ArchiflowWeb/images/indicator.gif">
          <a:extLst>
            <a:ext uri="{FF2B5EF4-FFF2-40B4-BE49-F238E27FC236}">
              <a16:creationId xmlns:a16="http://schemas.microsoft.com/office/drawing/2014/main" id="{00000000-0008-0000-0000-0000E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20" name="Immagine 1419" descr="http://demaco.consob/ArchiflowWeb/images/indicator.gif">
          <a:extLst>
            <a:ext uri="{FF2B5EF4-FFF2-40B4-BE49-F238E27FC236}">
              <a16:creationId xmlns:a16="http://schemas.microsoft.com/office/drawing/2014/main" id="{00000000-0008-0000-0000-0000E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21" name="Immagine 1420" descr="http://demaco.consob/ArchiflowWeb/images/indicator.gif">
          <a:extLst>
            <a:ext uri="{FF2B5EF4-FFF2-40B4-BE49-F238E27FC236}">
              <a16:creationId xmlns:a16="http://schemas.microsoft.com/office/drawing/2014/main" id="{00000000-0008-0000-0000-0000E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22" name="Immagine 1421" descr="http://demaco.consob/ArchiflowWeb/images/indicator.gif">
          <a:extLst>
            <a:ext uri="{FF2B5EF4-FFF2-40B4-BE49-F238E27FC236}">
              <a16:creationId xmlns:a16="http://schemas.microsoft.com/office/drawing/2014/main" id="{00000000-0008-0000-0000-0000E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23" name="Immagine 1422" descr="http://demaco.consob/ArchiflowWeb/images/indicator.gif">
          <a:extLst>
            <a:ext uri="{FF2B5EF4-FFF2-40B4-BE49-F238E27FC236}">
              <a16:creationId xmlns:a16="http://schemas.microsoft.com/office/drawing/2014/main" id="{00000000-0008-0000-0000-0000E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24" name="Immagine 1423" descr="http://demaco.consob/ArchiflowWeb/images/indicator.gif">
          <a:extLst>
            <a:ext uri="{FF2B5EF4-FFF2-40B4-BE49-F238E27FC236}">
              <a16:creationId xmlns:a16="http://schemas.microsoft.com/office/drawing/2014/main" id="{00000000-0008-0000-0000-0000E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25" name="Immagine 1424" descr="http://demaco.consob/ArchiflowWeb/images/indicator.gif">
          <a:extLst>
            <a:ext uri="{FF2B5EF4-FFF2-40B4-BE49-F238E27FC236}">
              <a16:creationId xmlns:a16="http://schemas.microsoft.com/office/drawing/2014/main" id="{00000000-0008-0000-0000-0000E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26" name="Immagine 1425" descr="http://demaco.consob/ArchiflowWeb/images/indicator.gif">
          <a:extLst>
            <a:ext uri="{FF2B5EF4-FFF2-40B4-BE49-F238E27FC236}">
              <a16:creationId xmlns:a16="http://schemas.microsoft.com/office/drawing/2014/main" id="{00000000-0008-0000-0000-0000E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27" name="Immagine 1426" descr="http://demaco.consob/ArchiflowWeb/images/indicator.gif">
          <a:extLst>
            <a:ext uri="{FF2B5EF4-FFF2-40B4-BE49-F238E27FC236}">
              <a16:creationId xmlns:a16="http://schemas.microsoft.com/office/drawing/2014/main" id="{00000000-0008-0000-0000-0000E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28" name="Immagine 1427" descr="http://demaco.consob/ArchiflowWeb/images/indicator.gif">
          <a:extLst>
            <a:ext uri="{FF2B5EF4-FFF2-40B4-BE49-F238E27FC236}">
              <a16:creationId xmlns:a16="http://schemas.microsoft.com/office/drawing/2014/main" id="{00000000-0008-0000-0000-0000E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29" name="Immagine 1428" descr="http://demaco.consob/ArchiflowWeb/images/indicator.gif">
          <a:extLst>
            <a:ext uri="{FF2B5EF4-FFF2-40B4-BE49-F238E27FC236}">
              <a16:creationId xmlns:a16="http://schemas.microsoft.com/office/drawing/2014/main" id="{00000000-0008-0000-0000-0000E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30" name="Immagine 1429" descr="http://demaco.consob/ArchiflowWeb/images/indicator.gif">
          <a:extLst>
            <a:ext uri="{FF2B5EF4-FFF2-40B4-BE49-F238E27FC236}">
              <a16:creationId xmlns:a16="http://schemas.microsoft.com/office/drawing/2014/main" id="{00000000-0008-0000-0000-0000E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31" name="Immagine 1430" descr="http://demaco.consob/ArchiflowWeb/images/indicator.gif">
          <a:extLst>
            <a:ext uri="{FF2B5EF4-FFF2-40B4-BE49-F238E27FC236}">
              <a16:creationId xmlns:a16="http://schemas.microsoft.com/office/drawing/2014/main" id="{00000000-0008-0000-0000-0000E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32" name="Immagine 1431" descr="http://demaco.consob/ArchiflowWeb/images/indicator.gif">
          <a:extLst>
            <a:ext uri="{FF2B5EF4-FFF2-40B4-BE49-F238E27FC236}">
              <a16:creationId xmlns:a16="http://schemas.microsoft.com/office/drawing/2014/main" id="{00000000-0008-0000-0000-0000E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33" name="Immagine 1432" descr="http://demaco.consob/ArchiflowWeb/images/indicator.gif">
          <a:extLst>
            <a:ext uri="{FF2B5EF4-FFF2-40B4-BE49-F238E27FC236}">
              <a16:creationId xmlns:a16="http://schemas.microsoft.com/office/drawing/2014/main" id="{00000000-0008-0000-0000-0000F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34" name="Immagine 1433" descr="http://demaco.consob/ArchiflowWeb/images/indicator.gif">
          <a:extLst>
            <a:ext uri="{FF2B5EF4-FFF2-40B4-BE49-F238E27FC236}">
              <a16:creationId xmlns:a16="http://schemas.microsoft.com/office/drawing/2014/main" id="{00000000-0008-0000-0000-0000F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35" name="Immagine 1434" descr="http://demaco.consob/ArchiflowWeb/images/indicator.gif">
          <a:extLst>
            <a:ext uri="{FF2B5EF4-FFF2-40B4-BE49-F238E27FC236}">
              <a16:creationId xmlns:a16="http://schemas.microsoft.com/office/drawing/2014/main" id="{00000000-0008-0000-0000-0000F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36" name="Immagine 1435" descr="http://demaco.consob/ArchiflowWeb/images/indicator.gif">
          <a:extLst>
            <a:ext uri="{FF2B5EF4-FFF2-40B4-BE49-F238E27FC236}">
              <a16:creationId xmlns:a16="http://schemas.microsoft.com/office/drawing/2014/main" id="{00000000-0008-0000-0000-0000F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37" name="Immagine 1436" descr="http://demaco.consob/ArchiflowWeb/images/indicator.gif">
          <a:extLst>
            <a:ext uri="{FF2B5EF4-FFF2-40B4-BE49-F238E27FC236}">
              <a16:creationId xmlns:a16="http://schemas.microsoft.com/office/drawing/2014/main" id="{00000000-0008-0000-0000-0000F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38" name="Immagine 1437" descr="http://demaco.consob/ArchiflowWeb/images/indicator.gif">
          <a:extLst>
            <a:ext uri="{FF2B5EF4-FFF2-40B4-BE49-F238E27FC236}">
              <a16:creationId xmlns:a16="http://schemas.microsoft.com/office/drawing/2014/main" id="{00000000-0008-0000-0000-0000F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39" name="Immagine 1438" descr="http://demaco.consob/ArchiflowWeb/images/indicator.gif">
          <a:extLst>
            <a:ext uri="{FF2B5EF4-FFF2-40B4-BE49-F238E27FC236}">
              <a16:creationId xmlns:a16="http://schemas.microsoft.com/office/drawing/2014/main" id="{00000000-0008-0000-0000-0000F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40" name="Immagine 1439" descr="http://demaco.consob/ArchiflowWeb/images/indicator.gif">
          <a:extLst>
            <a:ext uri="{FF2B5EF4-FFF2-40B4-BE49-F238E27FC236}">
              <a16:creationId xmlns:a16="http://schemas.microsoft.com/office/drawing/2014/main" id="{00000000-0008-0000-0000-0000F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41" name="Immagine 1440" descr="http://demaco.consob/ArchiflowWeb/images/indicator.gif">
          <a:extLst>
            <a:ext uri="{FF2B5EF4-FFF2-40B4-BE49-F238E27FC236}">
              <a16:creationId xmlns:a16="http://schemas.microsoft.com/office/drawing/2014/main" id="{00000000-0008-0000-0000-0000F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42" name="Immagine 1441" descr="http://demaco.consob/ArchiflowWeb/images/indicator.gif">
          <a:extLst>
            <a:ext uri="{FF2B5EF4-FFF2-40B4-BE49-F238E27FC236}">
              <a16:creationId xmlns:a16="http://schemas.microsoft.com/office/drawing/2014/main" id="{00000000-0008-0000-0000-0000F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43" name="Immagine 1442" descr="http://demaco.consob/ArchiflowWeb/images/indicator.gif">
          <a:extLst>
            <a:ext uri="{FF2B5EF4-FFF2-40B4-BE49-F238E27FC236}">
              <a16:creationId xmlns:a16="http://schemas.microsoft.com/office/drawing/2014/main" id="{00000000-0008-0000-0000-0000F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44" name="Immagine 1443" descr="http://demaco.consob/ArchiflowWeb/images/indicator.gif">
          <a:extLst>
            <a:ext uri="{FF2B5EF4-FFF2-40B4-BE49-F238E27FC236}">
              <a16:creationId xmlns:a16="http://schemas.microsoft.com/office/drawing/2014/main" id="{00000000-0008-0000-0000-0000F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575</xdr:row>
      <xdr:rowOff>0</xdr:rowOff>
    </xdr:from>
    <xdr:ext cx="152400" cy="152400"/>
    <xdr:pic>
      <xdr:nvPicPr>
        <xdr:cNvPr id="1445" name="Immagine 1444" descr="http://demaco.consob/ArchiflowWeb/images/indicator.gif">
          <a:extLst>
            <a:ext uri="{FF2B5EF4-FFF2-40B4-BE49-F238E27FC236}">
              <a16:creationId xmlns:a16="http://schemas.microsoft.com/office/drawing/2014/main" id="{00000000-0008-0000-0000-0000F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575</xdr:row>
      <xdr:rowOff>0</xdr:rowOff>
    </xdr:from>
    <xdr:ext cx="152400" cy="152400"/>
    <xdr:pic>
      <xdr:nvPicPr>
        <xdr:cNvPr id="1446" name="Immagine 1445" descr="http://demaco.consob/ArchiflowWeb/images/indicator.gif">
          <a:extLst>
            <a:ext uri="{FF2B5EF4-FFF2-40B4-BE49-F238E27FC236}">
              <a16:creationId xmlns:a16="http://schemas.microsoft.com/office/drawing/2014/main" id="{00000000-0008-0000-0000-0000F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3467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585</xdr:row>
      <xdr:rowOff>0</xdr:rowOff>
    </xdr:from>
    <xdr:ext cx="152400" cy="152400"/>
    <xdr:pic>
      <xdr:nvPicPr>
        <xdr:cNvPr id="1447" name="Immagine 1446" descr="http://demaco.consob/ArchiflowWeb/images/indicator.gif">
          <a:extLst>
            <a:ext uri="{FF2B5EF4-FFF2-40B4-BE49-F238E27FC236}">
              <a16:creationId xmlns:a16="http://schemas.microsoft.com/office/drawing/2014/main" id="{00000000-0008-0000-0000-0000F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2230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585</xdr:row>
      <xdr:rowOff>0</xdr:rowOff>
    </xdr:from>
    <xdr:ext cx="152400" cy="152400"/>
    <xdr:pic>
      <xdr:nvPicPr>
        <xdr:cNvPr id="1448" name="Immagine 1447" descr="http://demaco.consob/ArchiflowWeb/images/indicator.gif">
          <a:extLst>
            <a:ext uri="{FF2B5EF4-FFF2-40B4-BE49-F238E27FC236}">
              <a16:creationId xmlns:a16="http://schemas.microsoft.com/office/drawing/2014/main" id="{00000000-0008-0000-0000-0000F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2230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593</xdr:row>
      <xdr:rowOff>0</xdr:rowOff>
    </xdr:from>
    <xdr:ext cx="152400" cy="152400"/>
    <xdr:pic>
      <xdr:nvPicPr>
        <xdr:cNvPr id="1449" name="Immagine 1448" descr="http://demaco.consob/ArchiflowWeb/images/indicator.gif">
          <a:extLst>
            <a:ext uri="{FF2B5EF4-FFF2-40B4-BE49-F238E27FC236}">
              <a16:creationId xmlns:a16="http://schemas.microsoft.com/office/drawing/2014/main" id="{00000000-0008-0000-0000-00000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737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593</xdr:row>
      <xdr:rowOff>0</xdr:rowOff>
    </xdr:from>
    <xdr:ext cx="152400" cy="152400"/>
    <xdr:pic>
      <xdr:nvPicPr>
        <xdr:cNvPr id="1450" name="Immagine 1449" descr="http://demaco.consob/ArchiflowWeb/images/indicator.gif">
          <a:extLst>
            <a:ext uri="{FF2B5EF4-FFF2-40B4-BE49-F238E27FC236}">
              <a16:creationId xmlns:a16="http://schemas.microsoft.com/office/drawing/2014/main" id="{00000000-0008-0000-0000-00000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737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51" name="Immagine 1450" descr="http://demaco.consob/ArchiflowWeb/images/indicator.gif">
          <a:extLst>
            <a:ext uri="{FF2B5EF4-FFF2-40B4-BE49-F238E27FC236}">
              <a16:creationId xmlns:a16="http://schemas.microsoft.com/office/drawing/2014/main" id="{00000000-0008-0000-0000-00000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452" name="Immagine 1451" descr="http://demaco.consob/ArchiflowWeb/images/indicator.gif">
          <a:extLst>
            <a:ext uri="{FF2B5EF4-FFF2-40B4-BE49-F238E27FC236}">
              <a16:creationId xmlns:a16="http://schemas.microsoft.com/office/drawing/2014/main" id="{00000000-0008-0000-0000-00000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595</xdr:row>
      <xdr:rowOff>0</xdr:rowOff>
    </xdr:from>
    <xdr:ext cx="152400" cy="152400"/>
    <xdr:pic>
      <xdr:nvPicPr>
        <xdr:cNvPr id="1453" name="Immagine 1452" descr="http://demaco.consob/ArchiflowWeb/images/indicator.gif">
          <a:extLst>
            <a:ext uri="{FF2B5EF4-FFF2-40B4-BE49-F238E27FC236}">
              <a16:creationId xmlns:a16="http://schemas.microsoft.com/office/drawing/2014/main" id="{00000000-0008-0000-0000-00000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595</xdr:row>
      <xdr:rowOff>0</xdr:rowOff>
    </xdr:from>
    <xdr:ext cx="152400" cy="152400"/>
    <xdr:pic>
      <xdr:nvPicPr>
        <xdr:cNvPr id="1454" name="Immagine 1453" descr="http://demaco.consob/ArchiflowWeb/images/indicator.gif">
          <a:extLst>
            <a:ext uri="{FF2B5EF4-FFF2-40B4-BE49-F238E27FC236}">
              <a16:creationId xmlns:a16="http://schemas.microsoft.com/office/drawing/2014/main" id="{00000000-0008-0000-0000-00000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1927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55" name="Immagine 1454" descr="http://demaco.consob/ArchiflowWeb/images/indicator.gif">
          <a:extLst>
            <a:ext uri="{FF2B5EF4-FFF2-40B4-BE49-F238E27FC236}">
              <a16:creationId xmlns:a16="http://schemas.microsoft.com/office/drawing/2014/main" id="{00000000-0008-0000-0000-00000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56" name="Immagine 1455" descr="http://demaco.consob/ArchiflowWeb/images/indicator.gif">
          <a:extLst>
            <a:ext uri="{FF2B5EF4-FFF2-40B4-BE49-F238E27FC236}">
              <a16:creationId xmlns:a16="http://schemas.microsoft.com/office/drawing/2014/main" id="{00000000-0008-0000-0000-00000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57" name="Immagine 1456" descr="http://demaco.consob/ArchiflowWeb/images/indicator.gif">
          <a:extLst>
            <a:ext uri="{FF2B5EF4-FFF2-40B4-BE49-F238E27FC236}">
              <a16:creationId xmlns:a16="http://schemas.microsoft.com/office/drawing/2014/main" id="{00000000-0008-0000-0000-00000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58" name="Immagine 1457" descr="http://demaco.consob/ArchiflowWeb/images/indicator.gif">
          <a:extLst>
            <a:ext uri="{FF2B5EF4-FFF2-40B4-BE49-F238E27FC236}">
              <a16:creationId xmlns:a16="http://schemas.microsoft.com/office/drawing/2014/main" id="{00000000-0008-0000-0000-00000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59" name="Immagine 1458" descr="http://demaco.consob/ArchiflowWeb/images/indicator.gif">
          <a:extLst>
            <a:ext uri="{FF2B5EF4-FFF2-40B4-BE49-F238E27FC236}">
              <a16:creationId xmlns:a16="http://schemas.microsoft.com/office/drawing/2014/main" id="{00000000-0008-0000-0000-00000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60" name="Immagine 1459" descr="http://demaco.consob/ArchiflowWeb/images/indicator.gif">
          <a:extLst>
            <a:ext uri="{FF2B5EF4-FFF2-40B4-BE49-F238E27FC236}">
              <a16:creationId xmlns:a16="http://schemas.microsoft.com/office/drawing/2014/main" id="{00000000-0008-0000-0000-00000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61" name="Immagine 1460" descr="http://demaco.consob/ArchiflowWeb/images/indicator.gif">
          <a:extLst>
            <a:ext uri="{FF2B5EF4-FFF2-40B4-BE49-F238E27FC236}">
              <a16:creationId xmlns:a16="http://schemas.microsoft.com/office/drawing/2014/main" id="{00000000-0008-0000-0000-00000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62" name="Immagine 1461" descr="http://demaco.consob/ArchiflowWeb/images/indicator.gif">
          <a:extLst>
            <a:ext uri="{FF2B5EF4-FFF2-40B4-BE49-F238E27FC236}">
              <a16:creationId xmlns:a16="http://schemas.microsoft.com/office/drawing/2014/main" id="{00000000-0008-0000-0000-00000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63" name="Immagine 1462" descr="http://demaco.consob/ArchiflowWeb/images/indicator.gif">
          <a:extLst>
            <a:ext uri="{FF2B5EF4-FFF2-40B4-BE49-F238E27FC236}">
              <a16:creationId xmlns:a16="http://schemas.microsoft.com/office/drawing/2014/main" id="{00000000-0008-0000-0000-00000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64" name="Immagine 1463" descr="http://demaco.consob/ArchiflowWeb/images/indicator.gif">
          <a:extLst>
            <a:ext uri="{FF2B5EF4-FFF2-40B4-BE49-F238E27FC236}">
              <a16:creationId xmlns:a16="http://schemas.microsoft.com/office/drawing/2014/main" id="{00000000-0008-0000-0000-00000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65" name="Immagine 1464" descr="http://demaco.consob/ArchiflowWeb/images/indicator.gif">
          <a:extLst>
            <a:ext uri="{FF2B5EF4-FFF2-40B4-BE49-F238E27FC236}">
              <a16:creationId xmlns:a16="http://schemas.microsoft.com/office/drawing/2014/main" id="{00000000-0008-0000-0000-00001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66" name="Immagine 1465" descr="http://demaco.consob/ArchiflowWeb/images/indicator.gif">
          <a:extLst>
            <a:ext uri="{FF2B5EF4-FFF2-40B4-BE49-F238E27FC236}">
              <a16:creationId xmlns:a16="http://schemas.microsoft.com/office/drawing/2014/main" id="{00000000-0008-0000-0000-00001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600</xdr:row>
      <xdr:rowOff>0</xdr:rowOff>
    </xdr:from>
    <xdr:ext cx="152400" cy="152400"/>
    <xdr:pic>
      <xdr:nvPicPr>
        <xdr:cNvPr id="1467" name="Immagine 1466" descr="http://demaco.consob/ArchiflowWeb/images/indicator.gif">
          <a:extLst>
            <a:ext uri="{FF2B5EF4-FFF2-40B4-BE49-F238E27FC236}">
              <a16:creationId xmlns:a16="http://schemas.microsoft.com/office/drawing/2014/main" id="{00000000-0008-0000-0000-00001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600</xdr:row>
      <xdr:rowOff>0</xdr:rowOff>
    </xdr:from>
    <xdr:ext cx="152400" cy="152400"/>
    <xdr:pic>
      <xdr:nvPicPr>
        <xdr:cNvPr id="1468" name="Immagine 1467" descr="http://demaco.consob/ArchiflowWeb/images/indicator.gif">
          <a:extLst>
            <a:ext uri="{FF2B5EF4-FFF2-40B4-BE49-F238E27FC236}">
              <a16:creationId xmlns:a16="http://schemas.microsoft.com/office/drawing/2014/main" id="{00000000-0008-0000-0000-00001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3107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69" name="Immagine 1468" descr="http://demaco.consob/ArchiflowWeb/images/indicator.gif">
          <a:extLst>
            <a:ext uri="{FF2B5EF4-FFF2-40B4-BE49-F238E27FC236}">
              <a16:creationId xmlns:a16="http://schemas.microsoft.com/office/drawing/2014/main" id="{00000000-0008-0000-0000-00001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70" name="Immagine 1469" descr="http://demaco.consob/ArchiflowWeb/images/indicator.gif">
          <a:extLst>
            <a:ext uri="{FF2B5EF4-FFF2-40B4-BE49-F238E27FC236}">
              <a16:creationId xmlns:a16="http://schemas.microsoft.com/office/drawing/2014/main" id="{00000000-0008-0000-0000-00001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71" name="Immagine 1470" descr="http://demaco.consob/ArchiflowWeb/images/indicator.gif">
          <a:extLst>
            <a:ext uri="{FF2B5EF4-FFF2-40B4-BE49-F238E27FC236}">
              <a16:creationId xmlns:a16="http://schemas.microsoft.com/office/drawing/2014/main" id="{00000000-0008-0000-0000-00001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72" name="Immagine 1471" descr="http://demaco.consob/ArchiflowWeb/images/indicator.gif">
          <a:extLst>
            <a:ext uri="{FF2B5EF4-FFF2-40B4-BE49-F238E27FC236}">
              <a16:creationId xmlns:a16="http://schemas.microsoft.com/office/drawing/2014/main" id="{00000000-0008-0000-0000-00001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73" name="Immagine 1472" descr="http://demaco.consob/ArchiflowWeb/images/indicator.gif">
          <a:extLst>
            <a:ext uri="{FF2B5EF4-FFF2-40B4-BE49-F238E27FC236}">
              <a16:creationId xmlns:a16="http://schemas.microsoft.com/office/drawing/2014/main" id="{00000000-0008-0000-0000-00001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74" name="Immagine 1473" descr="http://demaco.consob/ArchiflowWeb/images/indicator.gif">
          <a:extLst>
            <a:ext uri="{FF2B5EF4-FFF2-40B4-BE49-F238E27FC236}">
              <a16:creationId xmlns:a16="http://schemas.microsoft.com/office/drawing/2014/main" id="{00000000-0008-0000-0000-00001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75" name="Immagine 1474" descr="http://demaco.consob/ArchiflowWeb/images/indicator.gif">
          <a:extLst>
            <a:ext uri="{FF2B5EF4-FFF2-40B4-BE49-F238E27FC236}">
              <a16:creationId xmlns:a16="http://schemas.microsoft.com/office/drawing/2014/main" id="{00000000-0008-0000-0000-00001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76" name="Immagine 1475" descr="http://demaco.consob/ArchiflowWeb/images/indicator.gif">
          <a:extLst>
            <a:ext uri="{FF2B5EF4-FFF2-40B4-BE49-F238E27FC236}">
              <a16:creationId xmlns:a16="http://schemas.microsoft.com/office/drawing/2014/main" id="{00000000-0008-0000-0000-00001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77" name="Immagine 1476" descr="http://demaco.consob/ArchiflowWeb/images/indicator.gif">
          <a:extLst>
            <a:ext uri="{FF2B5EF4-FFF2-40B4-BE49-F238E27FC236}">
              <a16:creationId xmlns:a16="http://schemas.microsoft.com/office/drawing/2014/main" id="{00000000-0008-0000-0000-00001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78" name="Immagine 1477" descr="http://demaco.consob/ArchiflowWeb/images/indicator.gif">
          <a:extLst>
            <a:ext uri="{FF2B5EF4-FFF2-40B4-BE49-F238E27FC236}">
              <a16:creationId xmlns:a16="http://schemas.microsoft.com/office/drawing/2014/main" id="{00000000-0008-0000-0000-00001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79" name="Immagine 1478" descr="http://demaco.consob/ArchiflowWeb/images/indicator.gif">
          <a:extLst>
            <a:ext uri="{FF2B5EF4-FFF2-40B4-BE49-F238E27FC236}">
              <a16:creationId xmlns:a16="http://schemas.microsoft.com/office/drawing/2014/main" id="{00000000-0008-0000-0000-00001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80" name="Immagine 1479" descr="http://demaco.consob/ArchiflowWeb/images/indicator.gif">
          <a:extLst>
            <a:ext uri="{FF2B5EF4-FFF2-40B4-BE49-F238E27FC236}">
              <a16:creationId xmlns:a16="http://schemas.microsoft.com/office/drawing/2014/main" id="{00000000-0008-0000-0000-00001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603</xdr:row>
      <xdr:rowOff>0</xdr:rowOff>
    </xdr:from>
    <xdr:ext cx="152400" cy="152400"/>
    <xdr:pic>
      <xdr:nvPicPr>
        <xdr:cNvPr id="1481" name="Immagine 1480" descr="http://demaco.consob/ArchiflowWeb/images/indicator.gif">
          <a:extLst>
            <a:ext uri="{FF2B5EF4-FFF2-40B4-BE49-F238E27FC236}">
              <a16:creationId xmlns:a16="http://schemas.microsoft.com/office/drawing/2014/main" id="{00000000-0008-0000-0000-00002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603</xdr:row>
      <xdr:rowOff>0</xdr:rowOff>
    </xdr:from>
    <xdr:ext cx="152400" cy="152400"/>
    <xdr:pic>
      <xdr:nvPicPr>
        <xdr:cNvPr id="1482" name="Immagine 1481" descr="http://demaco.consob/ArchiflowWeb/images/indicator.gif">
          <a:extLst>
            <a:ext uri="{FF2B5EF4-FFF2-40B4-BE49-F238E27FC236}">
              <a16:creationId xmlns:a16="http://schemas.microsoft.com/office/drawing/2014/main" id="{00000000-0008-0000-0000-00002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501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83" name="Immagine 1482" descr="http://demaco.consob/ArchiflowWeb/images/indicator.gif">
          <a:extLst>
            <a:ext uri="{FF2B5EF4-FFF2-40B4-BE49-F238E27FC236}">
              <a16:creationId xmlns:a16="http://schemas.microsoft.com/office/drawing/2014/main" id="{00000000-0008-0000-0000-00002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84" name="Immagine 1483" descr="http://demaco.consob/ArchiflowWeb/images/indicator.gif">
          <a:extLst>
            <a:ext uri="{FF2B5EF4-FFF2-40B4-BE49-F238E27FC236}">
              <a16:creationId xmlns:a16="http://schemas.microsoft.com/office/drawing/2014/main" id="{00000000-0008-0000-0000-00002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85" name="Immagine 1484" descr="http://demaco.consob/ArchiflowWeb/images/indicator.gif">
          <a:extLst>
            <a:ext uri="{FF2B5EF4-FFF2-40B4-BE49-F238E27FC236}">
              <a16:creationId xmlns:a16="http://schemas.microsoft.com/office/drawing/2014/main" id="{00000000-0008-0000-0000-00002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86" name="Immagine 1485" descr="http://demaco.consob/ArchiflowWeb/images/indicator.gif">
          <a:extLst>
            <a:ext uri="{FF2B5EF4-FFF2-40B4-BE49-F238E27FC236}">
              <a16:creationId xmlns:a16="http://schemas.microsoft.com/office/drawing/2014/main" id="{00000000-0008-0000-0000-00002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87" name="Immagine 1486" descr="http://demaco.consob/ArchiflowWeb/images/indicator.gif">
          <a:extLst>
            <a:ext uri="{FF2B5EF4-FFF2-40B4-BE49-F238E27FC236}">
              <a16:creationId xmlns:a16="http://schemas.microsoft.com/office/drawing/2014/main" id="{00000000-0008-0000-0000-00002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88" name="Immagine 1487" descr="http://demaco.consob/ArchiflowWeb/images/indicator.gif">
          <a:extLst>
            <a:ext uri="{FF2B5EF4-FFF2-40B4-BE49-F238E27FC236}">
              <a16:creationId xmlns:a16="http://schemas.microsoft.com/office/drawing/2014/main" id="{00000000-0008-0000-0000-00002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89" name="Immagine 1488" descr="http://demaco.consob/ArchiflowWeb/images/indicator.gif">
          <a:extLst>
            <a:ext uri="{FF2B5EF4-FFF2-40B4-BE49-F238E27FC236}">
              <a16:creationId xmlns:a16="http://schemas.microsoft.com/office/drawing/2014/main" id="{00000000-0008-0000-0000-00002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90" name="Immagine 1489" descr="http://demaco.consob/ArchiflowWeb/images/indicator.gif">
          <a:extLst>
            <a:ext uri="{FF2B5EF4-FFF2-40B4-BE49-F238E27FC236}">
              <a16:creationId xmlns:a16="http://schemas.microsoft.com/office/drawing/2014/main" id="{00000000-0008-0000-0000-00002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91" name="Immagine 1490" descr="http://demaco.consob/ArchiflowWeb/images/indicator.gif">
          <a:extLst>
            <a:ext uri="{FF2B5EF4-FFF2-40B4-BE49-F238E27FC236}">
              <a16:creationId xmlns:a16="http://schemas.microsoft.com/office/drawing/2014/main" id="{00000000-0008-0000-0000-00002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92" name="Immagine 1491" descr="http://demaco.consob/ArchiflowWeb/images/indicator.gif">
          <a:extLst>
            <a:ext uri="{FF2B5EF4-FFF2-40B4-BE49-F238E27FC236}">
              <a16:creationId xmlns:a16="http://schemas.microsoft.com/office/drawing/2014/main" id="{00000000-0008-0000-0000-00002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93" name="Immagine 1492" descr="http://demaco.consob/ArchiflowWeb/images/indicator.gif">
          <a:extLst>
            <a:ext uri="{FF2B5EF4-FFF2-40B4-BE49-F238E27FC236}">
              <a16:creationId xmlns:a16="http://schemas.microsoft.com/office/drawing/2014/main" id="{00000000-0008-0000-0000-00002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94" name="Immagine 1493" descr="http://demaco.consob/ArchiflowWeb/images/indicator.gif">
          <a:extLst>
            <a:ext uri="{FF2B5EF4-FFF2-40B4-BE49-F238E27FC236}">
              <a16:creationId xmlns:a16="http://schemas.microsoft.com/office/drawing/2014/main" id="{00000000-0008-0000-0000-00002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95" name="Immagine 1494" descr="http://demaco.consob/ArchiflowWeb/images/indicator.gif">
          <a:extLst>
            <a:ext uri="{FF2B5EF4-FFF2-40B4-BE49-F238E27FC236}">
              <a16:creationId xmlns:a16="http://schemas.microsoft.com/office/drawing/2014/main" id="{00000000-0008-0000-0000-00002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96" name="Immagine 1495" descr="http://demaco.consob/ArchiflowWeb/images/indicator.gif">
          <a:extLst>
            <a:ext uri="{FF2B5EF4-FFF2-40B4-BE49-F238E27FC236}">
              <a16:creationId xmlns:a16="http://schemas.microsoft.com/office/drawing/2014/main" id="{00000000-0008-0000-0000-00002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97" name="Immagine 1496" descr="http://demaco.consob/ArchiflowWeb/images/indicator.gif">
          <a:extLst>
            <a:ext uri="{FF2B5EF4-FFF2-40B4-BE49-F238E27FC236}">
              <a16:creationId xmlns:a16="http://schemas.microsoft.com/office/drawing/2014/main" id="{00000000-0008-0000-0000-00003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498" name="Immagine 1497" descr="http://demaco.consob/ArchiflowWeb/images/indicator.gif">
          <a:extLst>
            <a:ext uri="{FF2B5EF4-FFF2-40B4-BE49-F238E27FC236}">
              <a16:creationId xmlns:a16="http://schemas.microsoft.com/office/drawing/2014/main" id="{00000000-0008-0000-0000-00003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499" name="Immagine 1498" descr="http://demaco.consob/ArchiflowWeb/images/indicator.gif">
          <a:extLst>
            <a:ext uri="{FF2B5EF4-FFF2-40B4-BE49-F238E27FC236}">
              <a16:creationId xmlns:a16="http://schemas.microsoft.com/office/drawing/2014/main" id="{00000000-0008-0000-0000-00003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00" name="Immagine 1499" descr="http://demaco.consob/ArchiflowWeb/images/indicator.gif">
          <a:extLst>
            <a:ext uri="{FF2B5EF4-FFF2-40B4-BE49-F238E27FC236}">
              <a16:creationId xmlns:a16="http://schemas.microsoft.com/office/drawing/2014/main" id="{00000000-0008-0000-0000-00003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01" name="Immagine 1500" descr="http://demaco.consob/ArchiflowWeb/images/indicator.gif">
          <a:extLst>
            <a:ext uri="{FF2B5EF4-FFF2-40B4-BE49-F238E27FC236}">
              <a16:creationId xmlns:a16="http://schemas.microsoft.com/office/drawing/2014/main" id="{00000000-0008-0000-0000-00003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02" name="Immagine 1501" descr="http://demaco.consob/ArchiflowWeb/images/indicator.gif">
          <a:extLst>
            <a:ext uri="{FF2B5EF4-FFF2-40B4-BE49-F238E27FC236}">
              <a16:creationId xmlns:a16="http://schemas.microsoft.com/office/drawing/2014/main" id="{00000000-0008-0000-0000-00003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03" name="Immagine 1502" descr="http://demaco.consob/ArchiflowWeb/images/indicator.gif">
          <a:extLst>
            <a:ext uri="{FF2B5EF4-FFF2-40B4-BE49-F238E27FC236}">
              <a16:creationId xmlns:a16="http://schemas.microsoft.com/office/drawing/2014/main" id="{00000000-0008-0000-0000-00003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04" name="Immagine 1503" descr="http://demaco.consob/ArchiflowWeb/images/indicator.gif">
          <a:extLst>
            <a:ext uri="{FF2B5EF4-FFF2-40B4-BE49-F238E27FC236}">
              <a16:creationId xmlns:a16="http://schemas.microsoft.com/office/drawing/2014/main" id="{00000000-0008-0000-0000-00003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05" name="Immagine 1504" descr="http://demaco.consob/ArchiflowWeb/images/indicator.gif">
          <a:extLst>
            <a:ext uri="{FF2B5EF4-FFF2-40B4-BE49-F238E27FC236}">
              <a16:creationId xmlns:a16="http://schemas.microsoft.com/office/drawing/2014/main" id="{00000000-0008-0000-0000-00003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06" name="Immagine 1505" descr="http://demaco.consob/ArchiflowWeb/images/indicator.gif">
          <a:extLst>
            <a:ext uri="{FF2B5EF4-FFF2-40B4-BE49-F238E27FC236}">
              <a16:creationId xmlns:a16="http://schemas.microsoft.com/office/drawing/2014/main" id="{00000000-0008-0000-0000-00003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07" name="Immagine 1506" descr="http://demaco.consob/ArchiflowWeb/images/indicator.gif">
          <a:extLst>
            <a:ext uri="{FF2B5EF4-FFF2-40B4-BE49-F238E27FC236}">
              <a16:creationId xmlns:a16="http://schemas.microsoft.com/office/drawing/2014/main" id="{00000000-0008-0000-0000-00003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08" name="Immagine 1507" descr="http://demaco.consob/ArchiflowWeb/images/indicator.gif">
          <a:extLst>
            <a:ext uri="{FF2B5EF4-FFF2-40B4-BE49-F238E27FC236}">
              <a16:creationId xmlns:a16="http://schemas.microsoft.com/office/drawing/2014/main" id="{00000000-0008-0000-0000-00003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09" name="Immagine 1508" descr="http://demaco.consob/ArchiflowWeb/images/indicator.gif">
          <a:extLst>
            <a:ext uri="{FF2B5EF4-FFF2-40B4-BE49-F238E27FC236}">
              <a16:creationId xmlns:a16="http://schemas.microsoft.com/office/drawing/2014/main" id="{00000000-0008-0000-0000-00003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10" name="Immagine 1509" descr="http://demaco.consob/ArchiflowWeb/images/indicator.gif">
          <a:extLst>
            <a:ext uri="{FF2B5EF4-FFF2-40B4-BE49-F238E27FC236}">
              <a16:creationId xmlns:a16="http://schemas.microsoft.com/office/drawing/2014/main" id="{00000000-0008-0000-0000-00003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11" name="Immagine 1510" descr="http://demaco.consob/ArchiflowWeb/images/indicator.gif">
          <a:extLst>
            <a:ext uri="{FF2B5EF4-FFF2-40B4-BE49-F238E27FC236}">
              <a16:creationId xmlns:a16="http://schemas.microsoft.com/office/drawing/2014/main" id="{00000000-0008-0000-0000-00003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12" name="Immagine 1511" descr="http://demaco.consob/ArchiflowWeb/images/indicator.gif">
          <a:extLst>
            <a:ext uri="{FF2B5EF4-FFF2-40B4-BE49-F238E27FC236}">
              <a16:creationId xmlns:a16="http://schemas.microsoft.com/office/drawing/2014/main" id="{00000000-0008-0000-0000-00003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13" name="Immagine 1512" descr="http://demaco.consob/ArchiflowWeb/images/indicator.gif">
          <a:extLst>
            <a:ext uri="{FF2B5EF4-FFF2-40B4-BE49-F238E27FC236}">
              <a16:creationId xmlns:a16="http://schemas.microsoft.com/office/drawing/2014/main" id="{00000000-0008-0000-0000-00004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14" name="Immagine 1513" descr="http://demaco.consob/ArchiflowWeb/images/indicator.gif">
          <a:extLst>
            <a:ext uri="{FF2B5EF4-FFF2-40B4-BE49-F238E27FC236}">
              <a16:creationId xmlns:a16="http://schemas.microsoft.com/office/drawing/2014/main" id="{00000000-0008-0000-0000-00004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15" name="Immagine 1514" descr="http://demaco.consob/ArchiflowWeb/images/indicator.gif">
          <a:extLst>
            <a:ext uri="{FF2B5EF4-FFF2-40B4-BE49-F238E27FC236}">
              <a16:creationId xmlns:a16="http://schemas.microsoft.com/office/drawing/2014/main" id="{00000000-0008-0000-0000-00004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16" name="Immagine 1515" descr="http://demaco.consob/ArchiflowWeb/images/indicator.gif">
          <a:extLst>
            <a:ext uri="{FF2B5EF4-FFF2-40B4-BE49-F238E27FC236}">
              <a16:creationId xmlns:a16="http://schemas.microsoft.com/office/drawing/2014/main" id="{00000000-0008-0000-0000-00004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17" name="Immagine 1516" descr="http://demaco.consob/ArchiflowWeb/images/indicator.gif">
          <a:extLst>
            <a:ext uri="{FF2B5EF4-FFF2-40B4-BE49-F238E27FC236}">
              <a16:creationId xmlns:a16="http://schemas.microsoft.com/office/drawing/2014/main" id="{00000000-0008-0000-0000-00004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18" name="Immagine 1517" descr="http://demaco.consob/ArchiflowWeb/images/indicator.gif">
          <a:extLst>
            <a:ext uri="{FF2B5EF4-FFF2-40B4-BE49-F238E27FC236}">
              <a16:creationId xmlns:a16="http://schemas.microsoft.com/office/drawing/2014/main" id="{00000000-0008-0000-0000-00004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19" name="Immagine 1518" descr="http://demaco.consob/ArchiflowWeb/images/indicator.gif">
          <a:extLst>
            <a:ext uri="{FF2B5EF4-FFF2-40B4-BE49-F238E27FC236}">
              <a16:creationId xmlns:a16="http://schemas.microsoft.com/office/drawing/2014/main" id="{00000000-0008-0000-0000-00004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20" name="Immagine 1519" descr="http://demaco.consob/ArchiflowWeb/images/indicator.gif">
          <a:extLst>
            <a:ext uri="{FF2B5EF4-FFF2-40B4-BE49-F238E27FC236}">
              <a16:creationId xmlns:a16="http://schemas.microsoft.com/office/drawing/2014/main" id="{00000000-0008-0000-0000-00004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21" name="Immagine 1520" descr="http://demaco.consob/ArchiflowWeb/images/indicator.gif">
          <a:extLst>
            <a:ext uri="{FF2B5EF4-FFF2-40B4-BE49-F238E27FC236}">
              <a16:creationId xmlns:a16="http://schemas.microsoft.com/office/drawing/2014/main" id="{00000000-0008-0000-0000-00004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22" name="Immagine 1521" descr="http://demaco.consob/ArchiflowWeb/images/indicator.gif">
          <a:extLst>
            <a:ext uri="{FF2B5EF4-FFF2-40B4-BE49-F238E27FC236}">
              <a16:creationId xmlns:a16="http://schemas.microsoft.com/office/drawing/2014/main" id="{00000000-0008-0000-0000-00004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23" name="Immagine 1522" descr="http://demaco.consob/ArchiflowWeb/images/indicator.gif">
          <a:extLst>
            <a:ext uri="{FF2B5EF4-FFF2-40B4-BE49-F238E27FC236}">
              <a16:creationId xmlns:a16="http://schemas.microsoft.com/office/drawing/2014/main" id="{00000000-0008-0000-0000-00004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24" name="Immagine 1523" descr="http://demaco.consob/ArchiflowWeb/images/indicator.gif">
          <a:extLst>
            <a:ext uri="{FF2B5EF4-FFF2-40B4-BE49-F238E27FC236}">
              <a16:creationId xmlns:a16="http://schemas.microsoft.com/office/drawing/2014/main" id="{00000000-0008-0000-0000-00004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25" name="Immagine 1524" descr="http://demaco.consob/ArchiflowWeb/images/indicator.gif">
          <a:extLst>
            <a:ext uri="{FF2B5EF4-FFF2-40B4-BE49-F238E27FC236}">
              <a16:creationId xmlns:a16="http://schemas.microsoft.com/office/drawing/2014/main" id="{00000000-0008-0000-0000-00004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26" name="Immagine 1525" descr="http://demaco.consob/ArchiflowWeb/images/indicator.gif">
          <a:extLst>
            <a:ext uri="{FF2B5EF4-FFF2-40B4-BE49-F238E27FC236}">
              <a16:creationId xmlns:a16="http://schemas.microsoft.com/office/drawing/2014/main" id="{00000000-0008-0000-0000-00004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27" name="Immagine 1526" descr="http://demaco.consob/ArchiflowWeb/images/indicator.gif">
          <a:extLst>
            <a:ext uri="{FF2B5EF4-FFF2-40B4-BE49-F238E27FC236}">
              <a16:creationId xmlns:a16="http://schemas.microsoft.com/office/drawing/2014/main" id="{00000000-0008-0000-0000-00004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28" name="Immagine 1527" descr="http://demaco.consob/ArchiflowWeb/images/indicator.gif">
          <a:extLst>
            <a:ext uri="{FF2B5EF4-FFF2-40B4-BE49-F238E27FC236}">
              <a16:creationId xmlns:a16="http://schemas.microsoft.com/office/drawing/2014/main" id="{00000000-0008-0000-0000-00004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29" name="Immagine 1528" descr="http://demaco.consob/ArchiflowWeb/images/indicator.gif">
          <a:extLst>
            <a:ext uri="{FF2B5EF4-FFF2-40B4-BE49-F238E27FC236}">
              <a16:creationId xmlns:a16="http://schemas.microsoft.com/office/drawing/2014/main" id="{00000000-0008-0000-0000-00005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30" name="Immagine 1529" descr="http://demaco.consob/ArchiflowWeb/images/indicator.gif">
          <a:extLst>
            <a:ext uri="{FF2B5EF4-FFF2-40B4-BE49-F238E27FC236}">
              <a16:creationId xmlns:a16="http://schemas.microsoft.com/office/drawing/2014/main" id="{00000000-0008-0000-0000-00005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31" name="Immagine 1530" descr="http://demaco.consob/ArchiflowWeb/images/indicator.gif">
          <a:extLst>
            <a:ext uri="{FF2B5EF4-FFF2-40B4-BE49-F238E27FC236}">
              <a16:creationId xmlns:a16="http://schemas.microsoft.com/office/drawing/2014/main" id="{00000000-0008-0000-0000-00005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32" name="Immagine 1531" descr="http://demaco.consob/ArchiflowWeb/images/indicator.gif">
          <a:extLst>
            <a:ext uri="{FF2B5EF4-FFF2-40B4-BE49-F238E27FC236}">
              <a16:creationId xmlns:a16="http://schemas.microsoft.com/office/drawing/2014/main" id="{00000000-0008-0000-0000-00005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33" name="Immagine 1532" descr="http://demaco.consob/ArchiflowWeb/images/indicator.gif">
          <a:extLst>
            <a:ext uri="{FF2B5EF4-FFF2-40B4-BE49-F238E27FC236}">
              <a16:creationId xmlns:a16="http://schemas.microsoft.com/office/drawing/2014/main" id="{00000000-0008-0000-0000-00005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34" name="Immagine 1533" descr="http://demaco.consob/ArchiflowWeb/images/indicator.gif">
          <a:extLst>
            <a:ext uri="{FF2B5EF4-FFF2-40B4-BE49-F238E27FC236}">
              <a16:creationId xmlns:a16="http://schemas.microsoft.com/office/drawing/2014/main" id="{00000000-0008-0000-0000-00005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35" name="Immagine 1534" descr="http://demaco.consob/ArchiflowWeb/images/indicator.gif">
          <a:extLst>
            <a:ext uri="{FF2B5EF4-FFF2-40B4-BE49-F238E27FC236}">
              <a16:creationId xmlns:a16="http://schemas.microsoft.com/office/drawing/2014/main" id="{00000000-0008-0000-0000-00005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36" name="Immagine 1535" descr="http://demaco.consob/ArchiflowWeb/images/indicator.gif">
          <a:extLst>
            <a:ext uri="{FF2B5EF4-FFF2-40B4-BE49-F238E27FC236}">
              <a16:creationId xmlns:a16="http://schemas.microsoft.com/office/drawing/2014/main" id="{00000000-0008-0000-0000-00005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37" name="Immagine 1536" descr="http://demaco.consob/ArchiflowWeb/images/indicator.gif">
          <a:extLst>
            <a:ext uri="{FF2B5EF4-FFF2-40B4-BE49-F238E27FC236}">
              <a16:creationId xmlns:a16="http://schemas.microsoft.com/office/drawing/2014/main" id="{00000000-0008-0000-0000-00005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38" name="Immagine 1537" descr="http://demaco.consob/ArchiflowWeb/images/indicator.gif">
          <a:extLst>
            <a:ext uri="{FF2B5EF4-FFF2-40B4-BE49-F238E27FC236}">
              <a16:creationId xmlns:a16="http://schemas.microsoft.com/office/drawing/2014/main" id="{00000000-0008-0000-0000-00005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39" name="Immagine 1538" descr="http://demaco.consob/ArchiflowWeb/images/indicator.gif">
          <a:extLst>
            <a:ext uri="{FF2B5EF4-FFF2-40B4-BE49-F238E27FC236}">
              <a16:creationId xmlns:a16="http://schemas.microsoft.com/office/drawing/2014/main" id="{00000000-0008-0000-0000-00005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40" name="Immagine 1539" descr="http://demaco.consob/ArchiflowWeb/images/indicator.gif">
          <a:extLst>
            <a:ext uri="{FF2B5EF4-FFF2-40B4-BE49-F238E27FC236}">
              <a16:creationId xmlns:a16="http://schemas.microsoft.com/office/drawing/2014/main" id="{00000000-0008-0000-0000-00005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41" name="Immagine 1540" descr="http://demaco.consob/ArchiflowWeb/images/indicator.gif">
          <a:extLst>
            <a:ext uri="{FF2B5EF4-FFF2-40B4-BE49-F238E27FC236}">
              <a16:creationId xmlns:a16="http://schemas.microsoft.com/office/drawing/2014/main" id="{00000000-0008-0000-0000-00005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42" name="Immagine 1541" descr="http://demaco.consob/ArchiflowWeb/images/indicator.gif">
          <a:extLst>
            <a:ext uri="{FF2B5EF4-FFF2-40B4-BE49-F238E27FC236}">
              <a16:creationId xmlns:a16="http://schemas.microsoft.com/office/drawing/2014/main" id="{00000000-0008-0000-0000-00005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43" name="Immagine 1542" descr="http://demaco.consob/ArchiflowWeb/images/indicator.gif">
          <a:extLst>
            <a:ext uri="{FF2B5EF4-FFF2-40B4-BE49-F238E27FC236}">
              <a16:creationId xmlns:a16="http://schemas.microsoft.com/office/drawing/2014/main" id="{00000000-0008-0000-0000-00005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44" name="Immagine 1543" descr="http://demaco.consob/ArchiflowWeb/images/indicator.gif">
          <a:extLst>
            <a:ext uri="{FF2B5EF4-FFF2-40B4-BE49-F238E27FC236}">
              <a16:creationId xmlns:a16="http://schemas.microsoft.com/office/drawing/2014/main" id="{00000000-0008-0000-0000-00005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45" name="Immagine 1544" descr="http://demaco.consob/ArchiflowWeb/images/indicator.gif">
          <a:extLst>
            <a:ext uri="{FF2B5EF4-FFF2-40B4-BE49-F238E27FC236}">
              <a16:creationId xmlns:a16="http://schemas.microsoft.com/office/drawing/2014/main" id="{00000000-0008-0000-0000-00006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46" name="Immagine 1545" descr="http://demaco.consob/ArchiflowWeb/images/indicator.gif">
          <a:extLst>
            <a:ext uri="{FF2B5EF4-FFF2-40B4-BE49-F238E27FC236}">
              <a16:creationId xmlns:a16="http://schemas.microsoft.com/office/drawing/2014/main" id="{00000000-0008-0000-0000-00006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47" name="Immagine 1546" descr="http://demaco.consob/ArchiflowWeb/images/indicator.gif">
          <a:extLst>
            <a:ext uri="{FF2B5EF4-FFF2-40B4-BE49-F238E27FC236}">
              <a16:creationId xmlns:a16="http://schemas.microsoft.com/office/drawing/2014/main" id="{00000000-0008-0000-0000-00006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48" name="Immagine 1547" descr="http://demaco.consob/ArchiflowWeb/images/indicator.gif">
          <a:extLst>
            <a:ext uri="{FF2B5EF4-FFF2-40B4-BE49-F238E27FC236}">
              <a16:creationId xmlns:a16="http://schemas.microsoft.com/office/drawing/2014/main" id="{00000000-0008-0000-0000-00006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49" name="Immagine 1548" descr="http://demaco.consob/ArchiflowWeb/images/indicator.gif">
          <a:extLst>
            <a:ext uri="{FF2B5EF4-FFF2-40B4-BE49-F238E27FC236}">
              <a16:creationId xmlns:a16="http://schemas.microsoft.com/office/drawing/2014/main" id="{00000000-0008-0000-0000-00006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50" name="Immagine 1549" descr="http://demaco.consob/ArchiflowWeb/images/indicator.gif">
          <a:extLst>
            <a:ext uri="{FF2B5EF4-FFF2-40B4-BE49-F238E27FC236}">
              <a16:creationId xmlns:a16="http://schemas.microsoft.com/office/drawing/2014/main" id="{00000000-0008-0000-0000-00006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51" name="Immagine 1550" descr="http://demaco.consob/ArchiflowWeb/images/indicator.gif">
          <a:extLst>
            <a:ext uri="{FF2B5EF4-FFF2-40B4-BE49-F238E27FC236}">
              <a16:creationId xmlns:a16="http://schemas.microsoft.com/office/drawing/2014/main" id="{00000000-0008-0000-0000-00006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52" name="Immagine 1551" descr="http://demaco.consob/ArchiflowWeb/images/indicator.gif">
          <a:extLst>
            <a:ext uri="{FF2B5EF4-FFF2-40B4-BE49-F238E27FC236}">
              <a16:creationId xmlns:a16="http://schemas.microsoft.com/office/drawing/2014/main" id="{00000000-0008-0000-0000-00006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53" name="Immagine 1552" descr="http://demaco.consob/ArchiflowWeb/images/indicator.gif">
          <a:extLst>
            <a:ext uri="{FF2B5EF4-FFF2-40B4-BE49-F238E27FC236}">
              <a16:creationId xmlns:a16="http://schemas.microsoft.com/office/drawing/2014/main" id="{00000000-0008-0000-0000-00006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54" name="Immagine 1553" descr="http://demaco.consob/ArchiflowWeb/images/indicator.gif">
          <a:extLst>
            <a:ext uri="{FF2B5EF4-FFF2-40B4-BE49-F238E27FC236}">
              <a16:creationId xmlns:a16="http://schemas.microsoft.com/office/drawing/2014/main" id="{00000000-0008-0000-0000-00006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55" name="Immagine 1554" descr="http://demaco.consob/ArchiflowWeb/images/indicator.gif">
          <a:extLst>
            <a:ext uri="{FF2B5EF4-FFF2-40B4-BE49-F238E27FC236}">
              <a16:creationId xmlns:a16="http://schemas.microsoft.com/office/drawing/2014/main" id="{00000000-0008-0000-0000-00006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56" name="Immagine 1555" descr="http://demaco.consob/ArchiflowWeb/images/indicator.gif">
          <a:extLst>
            <a:ext uri="{FF2B5EF4-FFF2-40B4-BE49-F238E27FC236}">
              <a16:creationId xmlns:a16="http://schemas.microsoft.com/office/drawing/2014/main" id="{00000000-0008-0000-0000-00006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57" name="Immagine 1556" descr="http://demaco.consob/ArchiflowWeb/images/indicator.gif">
          <a:extLst>
            <a:ext uri="{FF2B5EF4-FFF2-40B4-BE49-F238E27FC236}">
              <a16:creationId xmlns:a16="http://schemas.microsoft.com/office/drawing/2014/main" id="{00000000-0008-0000-0000-00006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58" name="Immagine 1557" descr="http://demaco.consob/ArchiflowWeb/images/indicator.gif">
          <a:extLst>
            <a:ext uri="{FF2B5EF4-FFF2-40B4-BE49-F238E27FC236}">
              <a16:creationId xmlns:a16="http://schemas.microsoft.com/office/drawing/2014/main" id="{00000000-0008-0000-0000-00006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59" name="Immagine 1558" descr="http://demaco.consob/ArchiflowWeb/images/indicator.gif">
          <a:extLst>
            <a:ext uri="{FF2B5EF4-FFF2-40B4-BE49-F238E27FC236}">
              <a16:creationId xmlns:a16="http://schemas.microsoft.com/office/drawing/2014/main" id="{00000000-0008-0000-0000-00006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60" name="Immagine 1559" descr="http://demaco.consob/ArchiflowWeb/images/indicator.gif">
          <a:extLst>
            <a:ext uri="{FF2B5EF4-FFF2-40B4-BE49-F238E27FC236}">
              <a16:creationId xmlns:a16="http://schemas.microsoft.com/office/drawing/2014/main" id="{00000000-0008-0000-0000-00006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609</xdr:row>
      <xdr:rowOff>0</xdr:rowOff>
    </xdr:from>
    <xdr:to>
      <xdr:col>11</xdr:col>
      <xdr:colOff>152400</xdr:colOff>
      <xdr:row>609</xdr:row>
      <xdr:rowOff>152400</xdr:rowOff>
    </xdr:to>
    <xdr:pic>
      <xdr:nvPicPr>
        <xdr:cNvPr id="1561" name="Immagine 1560" descr="http://demaco.consob/ArchiflowWeb/images/indicator.gif">
          <a:extLst>
            <a:ext uri="{FF2B5EF4-FFF2-40B4-BE49-F238E27FC236}">
              <a16:creationId xmlns:a16="http://schemas.microsoft.com/office/drawing/2014/main" id="{00000000-0008-0000-0000-000070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609</xdr:row>
      <xdr:rowOff>0</xdr:rowOff>
    </xdr:from>
    <xdr:ext cx="152400" cy="152400"/>
    <xdr:pic>
      <xdr:nvPicPr>
        <xdr:cNvPr id="1562" name="Immagine 1561" descr="http://demaco.consob/ArchiflowWeb/images/indicator.gif">
          <a:extLst>
            <a:ext uri="{FF2B5EF4-FFF2-40B4-BE49-F238E27FC236}">
              <a16:creationId xmlns:a16="http://schemas.microsoft.com/office/drawing/2014/main" id="{00000000-0008-0000-0000-000071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63" name="Immagine 1562" descr="http://demaco.consob/ArchiflowWeb/images/indicator.gif">
          <a:extLst>
            <a:ext uri="{FF2B5EF4-FFF2-40B4-BE49-F238E27FC236}">
              <a16:creationId xmlns:a16="http://schemas.microsoft.com/office/drawing/2014/main" id="{00000000-0008-0000-0000-000072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64" name="Immagine 1563" descr="http://demaco.consob/ArchiflowWeb/images/indicator.gif">
          <a:extLst>
            <a:ext uri="{FF2B5EF4-FFF2-40B4-BE49-F238E27FC236}">
              <a16:creationId xmlns:a16="http://schemas.microsoft.com/office/drawing/2014/main" id="{00000000-0008-0000-0000-000073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609</xdr:row>
      <xdr:rowOff>0</xdr:rowOff>
    </xdr:from>
    <xdr:ext cx="152400" cy="152400"/>
    <xdr:pic>
      <xdr:nvPicPr>
        <xdr:cNvPr id="1565" name="Immagine 1564" descr="http://demaco.consob/ArchiflowWeb/images/indicator.gif">
          <a:extLst>
            <a:ext uri="{FF2B5EF4-FFF2-40B4-BE49-F238E27FC236}">
              <a16:creationId xmlns:a16="http://schemas.microsoft.com/office/drawing/2014/main" id="{00000000-0008-0000-0000-000074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609</xdr:row>
      <xdr:rowOff>0</xdr:rowOff>
    </xdr:from>
    <xdr:ext cx="152400" cy="152400"/>
    <xdr:pic>
      <xdr:nvPicPr>
        <xdr:cNvPr id="1566" name="Immagine 1565" descr="http://demaco.consob/ArchiflowWeb/images/indicator.gif">
          <a:extLst>
            <a:ext uri="{FF2B5EF4-FFF2-40B4-BE49-F238E27FC236}">
              <a16:creationId xmlns:a16="http://schemas.microsoft.com/office/drawing/2014/main" id="{00000000-0008-0000-0000-00007502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863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67" name="Immagine 1566" descr="http://demaco.consob/ArchiflowWeb/images/indicator.gif">
          <a:extLst>
            <a:ext uri="{FF2B5EF4-FFF2-40B4-BE49-F238E27FC236}">
              <a16:creationId xmlns:a16="http://schemas.microsoft.com/office/drawing/2014/main" id="{00000000-0008-0000-0000-00007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68" name="Immagine 1567" descr="http://demaco.consob/ArchiflowWeb/images/indicator.gif">
          <a:extLst>
            <a:ext uri="{FF2B5EF4-FFF2-40B4-BE49-F238E27FC236}">
              <a16:creationId xmlns:a16="http://schemas.microsoft.com/office/drawing/2014/main" id="{00000000-0008-0000-0000-00007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69" name="Immagine 1568" descr="http://demaco.consob/ArchiflowWeb/images/indicator.gif">
          <a:extLst>
            <a:ext uri="{FF2B5EF4-FFF2-40B4-BE49-F238E27FC236}">
              <a16:creationId xmlns:a16="http://schemas.microsoft.com/office/drawing/2014/main" id="{00000000-0008-0000-0000-00007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70" name="Immagine 1569" descr="http://demaco.consob/ArchiflowWeb/images/indicator.gif">
          <a:extLst>
            <a:ext uri="{FF2B5EF4-FFF2-40B4-BE49-F238E27FC236}">
              <a16:creationId xmlns:a16="http://schemas.microsoft.com/office/drawing/2014/main" id="{00000000-0008-0000-0000-00007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71" name="Immagine 1570" descr="http://demaco.consob/ArchiflowWeb/images/indicator.gif">
          <a:extLst>
            <a:ext uri="{FF2B5EF4-FFF2-40B4-BE49-F238E27FC236}">
              <a16:creationId xmlns:a16="http://schemas.microsoft.com/office/drawing/2014/main" id="{00000000-0008-0000-0000-00007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72" name="Immagine 1571" descr="http://demaco.consob/ArchiflowWeb/images/indicator.gif">
          <a:extLst>
            <a:ext uri="{FF2B5EF4-FFF2-40B4-BE49-F238E27FC236}">
              <a16:creationId xmlns:a16="http://schemas.microsoft.com/office/drawing/2014/main" id="{00000000-0008-0000-0000-00007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73" name="Immagine 1572" descr="http://demaco.consob/ArchiflowWeb/images/indicator.gif">
          <a:extLst>
            <a:ext uri="{FF2B5EF4-FFF2-40B4-BE49-F238E27FC236}">
              <a16:creationId xmlns:a16="http://schemas.microsoft.com/office/drawing/2014/main" id="{00000000-0008-0000-0000-00007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74" name="Immagine 1573" descr="http://demaco.consob/ArchiflowWeb/images/indicator.gif">
          <a:extLst>
            <a:ext uri="{FF2B5EF4-FFF2-40B4-BE49-F238E27FC236}">
              <a16:creationId xmlns:a16="http://schemas.microsoft.com/office/drawing/2014/main" id="{00000000-0008-0000-0000-00007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75" name="Immagine 1574" descr="http://demaco.consob/ArchiflowWeb/images/indicator.gif">
          <a:extLst>
            <a:ext uri="{FF2B5EF4-FFF2-40B4-BE49-F238E27FC236}">
              <a16:creationId xmlns:a16="http://schemas.microsoft.com/office/drawing/2014/main" id="{00000000-0008-0000-0000-00007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76" name="Immagine 1575" descr="http://demaco.consob/ArchiflowWeb/images/indicator.gif">
          <a:extLst>
            <a:ext uri="{FF2B5EF4-FFF2-40B4-BE49-F238E27FC236}">
              <a16:creationId xmlns:a16="http://schemas.microsoft.com/office/drawing/2014/main" id="{00000000-0008-0000-0000-00007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77" name="Immagine 1576" descr="http://demaco.consob/ArchiflowWeb/images/indicator.gif">
          <a:extLst>
            <a:ext uri="{FF2B5EF4-FFF2-40B4-BE49-F238E27FC236}">
              <a16:creationId xmlns:a16="http://schemas.microsoft.com/office/drawing/2014/main" id="{00000000-0008-0000-0000-00008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78" name="Immagine 1577" descr="http://demaco.consob/ArchiflowWeb/images/indicator.gif">
          <a:extLst>
            <a:ext uri="{FF2B5EF4-FFF2-40B4-BE49-F238E27FC236}">
              <a16:creationId xmlns:a16="http://schemas.microsoft.com/office/drawing/2014/main" id="{00000000-0008-0000-0000-00008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79" name="Immagine 1578" descr="http://demaco.consob/ArchiflowWeb/images/indicator.gif">
          <a:extLst>
            <a:ext uri="{FF2B5EF4-FFF2-40B4-BE49-F238E27FC236}">
              <a16:creationId xmlns:a16="http://schemas.microsoft.com/office/drawing/2014/main" id="{00000000-0008-0000-0000-00008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80" name="Immagine 1579" descr="http://demaco.consob/ArchiflowWeb/images/indicator.gif">
          <a:extLst>
            <a:ext uri="{FF2B5EF4-FFF2-40B4-BE49-F238E27FC236}">
              <a16:creationId xmlns:a16="http://schemas.microsoft.com/office/drawing/2014/main" id="{00000000-0008-0000-0000-00008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81" name="Immagine 1580" descr="http://demaco.consob/ArchiflowWeb/images/indicator.gif">
          <a:extLst>
            <a:ext uri="{FF2B5EF4-FFF2-40B4-BE49-F238E27FC236}">
              <a16:creationId xmlns:a16="http://schemas.microsoft.com/office/drawing/2014/main" id="{00000000-0008-0000-0000-00008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82" name="Immagine 1581" descr="http://demaco.consob/ArchiflowWeb/images/indicator.gif">
          <a:extLst>
            <a:ext uri="{FF2B5EF4-FFF2-40B4-BE49-F238E27FC236}">
              <a16:creationId xmlns:a16="http://schemas.microsoft.com/office/drawing/2014/main" id="{00000000-0008-0000-0000-00008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83" name="Immagine 1582" descr="http://demaco.consob/ArchiflowWeb/images/indicator.gif">
          <a:extLst>
            <a:ext uri="{FF2B5EF4-FFF2-40B4-BE49-F238E27FC236}">
              <a16:creationId xmlns:a16="http://schemas.microsoft.com/office/drawing/2014/main" id="{00000000-0008-0000-0000-00008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84" name="Immagine 1583" descr="http://demaco.consob/ArchiflowWeb/images/indicator.gif">
          <a:extLst>
            <a:ext uri="{FF2B5EF4-FFF2-40B4-BE49-F238E27FC236}">
              <a16:creationId xmlns:a16="http://schemas.microsoft.com/office/drawing/2014/main" id="{00000000-0008-0000-0000-00008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85" name="Immagine 1584" descr="http://demaco.consob/ArchiflowWeb/images/indicator.gif">
          <a:extLst>
            <a:ext uri="{FF2B5EF4-FFF2-40B4-BE49-F238E27FC236}">
              <a16:creationId xmlns:a16="http://schemas.microsoft.com/office/drawing/2014/main" id="{00000000-0008-0000-0000-00008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86" name="Immagine 1585" descr="http://demaco.consob/ArchiflowWeb/images/indicator.gif">
          <a:extLst>
            <a:ext uri="{FF2B5EF4-FFF2-40B4-BE49-F238E27FC236}">
              <a16:creationId xmlns:a16="http://schemas.microsoft.com/office/drawing/2014/main" id="{00000000-0008-0000-0000-00008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87" name="Immagine 1586" descr="http://demaco.consob/ArchiflowWeb/images/indicator.gif">
          <a:extLst>
            <a:ext uri="{FF2B5EF4-FFF2-40B4-BE49-F238E27FC236}">
              <a16:creationId xmlns:a16="http://schemas.microsoft.com/office/drawing/2014/main" id="{00000000-0008-0000-0000-00008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88" name="Immagine 1587" descr="http://demaco.consob/ArchiflowWeb/images/indicator.gif">
          <a:extLst>
            <a:ext uri="{FF2B5EF4-FFF2-40B4-BE49-F238E27FC236}">
              <a16:creationId xmlns:a16="http://schemas.microsoft.com/office/drawing/2014/main" id="{00000000-0008-0000-0000-00008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89" name="Immagine 1588" descr="http://demaco.consob/ArchiflowWeb/images/indicator.gif">
          <a:extLst>
            <a:ext uri="{FF2B5EF4-FFF2-40B4-BE49-F238E27FC236}">
              <a16:creationId xmlns:a16="http://schemas.microsoft.com/office/drawing/2014/main" id="{00000000-0008-0000-0000-00008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90" name="Immagine 1589" descr="http://demaco.consob/ArchiflowWeb/images/indicator.gif">
          <a:extLst>
            <a:ext uri="{FF2B5EF4-FFF2-40B4-BE49-F238E27FC236}">
              <a16:creationId xmlns:a16="http://schemas.microsoft.com/office/drawing/2014/main" id="{00000000-0008-0000-0000-00008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91" name="Immagine 1590" descr="http://demaco.consob/ArchiflowWeb/images/indicator.gif">
          <a:extLst>
            <a:ext uri="{FF2B5EF4-FFF2-40B4-BE49-F238E27FC236}">
              <a16:creationId xmlns:a16="http://schemas.microsoft.com/office/drawing/2014/main" id="{00000000-0008-0000-0000-00008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92" name="Immagine 1591" descr="http://demaco.consob/ArchiflowWeb/images/indicator.gif">
          <a:extLst>
            <a:ext uri="{FF2B5EF4-FFF2-40B4-BE49-F238E27FC236}">
              <a16:creationId xmlns:a16="http://schemas.microsoft.com/office/drawing/2014/main" id="{00000000-0008-0000-0000-00008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93" name="Immagine 1592" descr="http://demaco.consob/ArchiflowWeb/images/indicator.gif">
          <a:extLst>
            <a:ext uri="{FF2B5EF4-FFF2-40B4-BE49-F238E27FC236}">
              <a16:creationId xmlns:a16="http://schemas.microsoft.com/office/drawing/2014/main" id="{00000000-0008-0000-0000-00009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94" name="Immagine 1593" descr="http://demaco.consob/ArchiflowWeb/images/indicator.gif">
          <a:extLst>
            <a:ext uri="{FF2B5EF4-FFF2-40B4-BE49-F238E27FC236}">
              <a16:creationId xmlns:a16="http://schemas.microsoft.com/office/drawing/2014/main" id="{00000000-0008-0000-0000-00009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95" name="Immagine 1594" descr="http://demaco.consob/ArchiflowWeb/images/indicator.gif">
          <a:extLst>
            <a:ext uri="{FF2B5EF4-FFF2-40B4-BE49-F238E27FC236}">
              <a16:creationId xmlns:a16="http://schemas.microsoft.com/office/drawing/2014/main" id="{00000000-0008-0000-0000-00009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96" name="Immagine 1595" descr="http://demaco.consob/ArchiflowWeb/images/indicator.gif">
          <a:extLst>
            <a:ext uri="{FF2B5EF4-FFF2-40B4-BE49-F238E27FC236}">
              <a16:creationId xmlns:a16="http://schemas.microsoft.com/office/drawing/2014/main" id="{00000000-0008-0000-0000-00009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97" name="Immagine 1596" descr="http://demaco.consob/ArchiflowWeb/images/indicator.gif">
          <a:extLst>
            <a:ext uri="{FF2B5EF4-FFF2-40B4-BE49-F238E27FC236}">
              <a16:creationId xmlns:a16="http://schemas.microsoft.com/office/drawing/2014/main" id="{00000000-0008-0000-0000-00009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598" name="Immagine 1597" descr="http://demaco.consob/ArchiflowWeb/images/indicator.gif">
          <a:extLst>
            <a:ext uri="{FF2B5EF4-FFF2-40B4-BE49-F238E27FC236}">
              <a16:creationId xmlns:a16="http://schemas.microsoft.com/office/drawing/2014/main" id="{00000000-0008-0000-0000-00009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599" name="Immagine 1598" descr="http://demaco.consob/ArchiflowWeb/images/indicator.gif">
          <a:extLst>
            <a:ext uri="{FF2B5EF4-FFF2-40B4-BE49-F238E27FC236}">
              <a16:creationId xmlns:a16="http://schemas.microsoft.com/office/drawing/2014/main" id="{00000000-0008-0000-0000-00009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00" name="Immagine 1599" descr="http://demaco.consob/ArchiflowWeb/images/indicator.gif">
          <a:extLst>
            <a:ext uri="{FF2B5EF4-FFF2-40B4-BE49-F238E27FC236}">
              <a16:creationId xmlns:a16="http://schemas.microsoft.com/office/drawing/2014/main" id="{00000000-0008-0000-0000-00009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01" name="Immagine 1600" descr="http://demaco.consob/ArchiflowWeb/images/indicator.gif">
          <a:extLst>
            <a:ext uri="{FF2B5EF4-FFF2-40B4-BE49-F238E27FC236}">
              <a16:creationId xmlns:a16="http://schemas.microsoft.com/office/drawing/2014/main" id="{00000000-0008-0000-0000-00009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02" name="Immagine 1601" descr="http://demaco.consob/ArchiflowWeb/images/indicator.gif">
          <a:extLst>
            <a:ext uri="{FF2B5EF4-FFF2-40B4-BE49-F238E27FC236}">
              <a16:creationId xmlns:a16="http://schemas.microsoft.com/office/drawing/2014/main" id="{00000000-0008-0000-0000-00009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03" name="Immagine 1602" descr="http://demaco.consob/ArchiflowWeb/images/indicator.gif">
          <a:extLst>
            <a:ext uri="{FF2B5EF4-FFF2-40B4-BE49-F238E27FC236}">
              <a16:creationId xmlns:a16="http://schemas.microsoft.com/office/drawing/2014/main" id="{00000000-0008-0000-0000-00009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04" name="Immagine 1603" descr="http://demaco.consob/ArchiflowWeb/images/indicator.gif">
          <a:extLst>
            <a:ext uri="{FF2B5EF4-FFF2-40B4-BE49-F238E27FC236}">
              <a16:creationId xmlns:a16="http://schemas.microsoft.com/office/drawing/2014/main" id="{00000000-0008-0000-0000-00009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05" name="Immagine 1604" descr="http://demaco.consob/ArchiflowWeb/images/indicator.gif">
          <a:extLst>
            <a:ext uri="{FF2B5EF4-FFF2-40B4-BE49-F238E27FC236}">
              <a16:creationId xmlns:a16="http://schemas.microsoft.com/office/drawing/2014/main" id="{00000000-0008-0000-0000-00009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06" name="Immagine 1605" descr="http://demaco.consob/ArchiflowWeb/images/indicator.gif">
          <a:extLst>
            <a:ext uri="{FF2B5EF4-FFF2-40B4-BE49-F238E27FC236}">
              <a16:creationId xmlns:a16="http://schemas.microsoft.com/office/drawing/2014/main" id="{00000000-0008-0000-0000-00009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07" name="Immagine 1606" descr="http://demaco.consob/ArchiflowWeb/images/indicator.gif">
          <a:extLst>
            <a:ext uri="{FF2B5EF4-FFF2-40B4-BE49-F238E27FC236}">
              <a16:creationId xmlns:a16="http://schemas.microsoft.com/office/drawing/2014/main" id="{00000000-0008-0000-0000-00009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08" name="Immagine 1607" descr="http://demaco.consob/ArchiflowWeb/images/indicator.gif">
          <a:extLst>
            <a:ext uri="{FF2B5EF4-FFF2-40B4-BE49-F238E27FC236}">
              <a16:creationId xmlns:a16="http://schemas.microsoft.com/office/drawing/2014/main" id="{00000000-0008-0000-0000-00009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09" name="Immagine 1608" descr="http://demaco.consob/ArchiflowWeb/images/indicator.gif">
          <a:extLst>
            <a:ext uri="{FF2B5EF4-FFF2-40B4-BE49-F238E27FC236}">
              <a16:creationId xmlns:a16="http://schemas.microsoft.com/office/drawing/2014/main" id="{00000000-0008-0000-0000-0000A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10" name="Immagine 1609" descr="http://demaco.consob/ArchiflowWeb/images/indicator.gif">
          <a:extLst>
            <a:ext uri="{FF2B5EF4-FFF2-40B4-BE49-F238E27FC236}">
              <a16:creationId xmlns:a16="http://schemas.microsoft.com/office/drawing/2014/main" id="{00000000-0008-0000-0000-0000A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11" name="Immagine 1610" descr="http://demaco.consob/ArchiflowWeb/images/indicator.gif">
          <a:extLst>
            <a:ext uri="{FF2B5EF4-FFF2-40B4-BE49-F238E27FC236}">
              <a16:creationId xmlns:a16="http://schemas.microsoft.com/office/drawing/2014/main" id="{00000000-0008-0000-0000-0000A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12" name="Immagine 1611" descr="http://demaco.consob/ArchiflowWeb/images/indicator.gif">
          <a:extLst>
            <a:ext uri="{FF2B5EF4-FFF2-40B4-BE49-F238E27FC236}">
              <a16:creationId xmlns:a16="http://schemas.microsoft.com/office/drawing/2014/main" id="{00000000-0008-0000-0000-0000A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13" name="Immagine 1612" descr="http://demaco.consob/ArchiflowWeb/images/indicator.gif">
          <a:extLst>
            <a:ext uri="{FF2B5EF4-FFF2-40B4-BE49-F238E27FC236}">
              <a16:creationId xmlns:a16="http://schemas.microsoft.com/office/drawing/2014/main" id="{00000000-0008-0000-0000-0000A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14" name="Immagine 1613" descr="http://demaco.consob/ArchiflowWeb/images/indicator.gif">
          <a:extLst>
            <a:ext uri="{FF2B5EF4-FFF2-40B4-BE49-F238E27FC236}">
              <a16:creationId xmlns:a16="http://schemas.microsoft.com/office/drawing/2014/main" id="{00000000-0008-0000-0000-0000A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15" name="Immagine 1614" descr="http://demaco.consob/ArchiflowWeb/images/indicator.gif">
          <a:extLst>
            <a:ext uri="{FF2B5EF4-FFF2-40B4-BE49-F238E27FC236}">
              <a16:creationId xmlns:a16="http://schemas.microsoft.com/office/drawing/2014/main" id="{00000000-0008-0000-0000-0000A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16" name="Immagine 1615" descr="http://demaco.consob/ArchiflowWeb/images/indicator.gif">
          <a:extLst>
            <a:ext uri="{FF2B5EF4-FFF2-40B4-BE49-F238E27FC236}">
              <a16:creationId xmlns:a16="http://schemas.microsoft.com/office/drawing/2014/main" id="{00000000-0008-0000-0000-0000A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17" name="Immagine 1616" descr="http://demaco.consob/ArchiflowWeb/images/indicator.gif">
          <a:extLst>
            <a:ext uri="{FF2B5EF4-FFF2-40B4-BE49-F238E27FC236}">
              <a16:creationId xmlns:a16="http://schemas.microsoft.com/office/drawing/2014/main" id="{00000000-0008-0000-0000-0000A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18" name="Immagine 1617" descr="http://demaco.consob/ArchiflowWeb/images/indicator.gif">
          <a:extLst>
            <a:ext uri="{FF2B5EF4-FFF2-40B4-BE49-F238E27FC236}">
              <a16:creationId xmlns:a16="http://schemas.microsoft.com/office/drawing/2014/main" id="{00000000-0008-0000-0000-0000A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19" name="Immagine 1618" descr="http://demaco.consob/ArchiflowWeb/images/indicator.gif">
          <a:extLst>
            <a:ext uri="{FF2B5EF4-FFF2-40B4-BE49-F238E27FC236}">
              <a16:creationId xmlns:a16="http://schemas.microsoft.com/office/drawing/2014/main" id="{00000000-0008-0000-0000-0000A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20" name="Immagine 1619" descr="http://demaco.consob/ArchiflowWeb/images/indicator.gif">
          <a:extLst>
            <a:ext uri="{FF2B5EF4-FFF2-40B4-BE49-F238E27FC236}">
              <a16:creationId xmlns:a16="http://schemas.microsoft.com/office/drawing/2014/main" id="{00000000-0008-0000-0000-0000A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21" name="Immagine 1620" descr="http://demaco.consob/ArchiflowWeb/images/indicator.gif">
          <a:extLst>
            <a:ext uri="{FF2B5EF4-FFF2-40B4-BE49-F238E27FC236}">
              <a16:creationId xmlns:a16="http://schemas.microsoft.com/office/drawing/2014/main" id="{00000000-0008-0000-0000-0000A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22" name="Immagine 1621" descr="http://demaco.consob/ArchiflowWeb/images/indicator.gif">
          <a:extLst>
            <a:ext uri="{FF2B5EF4-FFF2-40B4-BE49-F238E27FC236}">
              <a16:creationId xmlns:a16="http://schemas.microsoft.com/office/drawing/2014/main" id="{00000000-0008-0000-0000-0000A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23" name="Immagine 1622" descr="http://demaco.consob/ArchiflowWeb/images/indicator.gif">
          <a:extLst>
            <a:ext uri="{FF2B5EF4-FFF2-40B4-BE49-F238E27FC236}">
              <a16:creationId xmlns:a16="http://schemas.microsoft.com/office/drawing/2014/main" id="{00000000-0008-0000-0000-0000A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24" name="Immagine 1623" descr="http://demaco.consob/ArchiflowWeb/images/indicator.gif">
          <a:extLst>
            <a:ext uri="{FF2B5EF4-FFF2-40B4-BE49-F238E27FC236}">
              <a16:creationId xmlns:a16="http://schemas.microsoft.com/office/drawing/2014/main" id="{00000000-0008-0000-0000-0000A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25" name="Immagine 1624" descr="http://demaco.consob/ArchiflowWeb/images/indicator.gif">
          <a:extLst>
            <a:ext uri="{FF2B5EF4-FFF2-40B4-BE49-F238E27FC236}">
              <a16:creationId xmlns:a16="http://schemas.microsoft.com/office/drawing/2014/main" id="{00000000-0008-0000-0000-0000B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26" name="Immagine 1625" descr="http://demaco.consob/ArchiflowWeb/images/indicator.gif">
          <a:extLst>
            <a:ext uri="{FF2B5EF4-FFF2-40B4-BE49-F238E27FC236}">
              <a16:creationId xmlns:a16="http://schemas.microsoft.com/office/drawing/2014/main" id="{00000000-0008-0000-0000-0000B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27" name="Immagine 1626" descr="http://demaco.consob/ArchiflowWeb/images/indicator.gif">
          <a:extLst>
            <a:ext uri="{FF2B5EF4-FFF2-40B4-BE49-F238E27FC236}">
              <a16:creationId xmlns:a16="http://schemas.microsoft.com/office/drawing/2014/main" id="{00000000-0008-0000-0000-0000B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28" name="Immagine 1627" descr="http://demaco.consob/ArchiflowWeb/images/indicator.gif">
          <a:extLst>
            <a:ext uri="{FF2B5EF4-FFF2-40B4-BE49-F238E27FC236}">
              <a16:creationId xmlns:a16="http://schemas.microsoft.com/office/drawing/2014/main" id="{00000000-0008-0000-0000-0000B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29" name="Immagine 1628" descr="http://demaco.consob/ArchiflowWeb/images/indicator.gif">
          <a:extLst>
            <a:ext uri="{FF2B5EF4-FFF2-40B4-BE49-F238E27FC236}">
              <a16:creationId xmlns:a16="http://schemas.microsoft.com/office/drawing/2014/main" id="{00000000-0008-0000-0000-0000B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30" name="Immagine 1629" descr="http://demaco.consob/ArchiflowWeb/images/indicator.gif">
          <a:extLst>
            <a:ext uri="{FF2B5EF4-FFF2-40B4-BE49-F238E27FC236}">
              <a16:creationId xmlns:a16="http://schemas.microsoft.com/office/drawing/2014/main" id="{00000000-0008-0000-0000-0000B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31" name="Immagine 1630" descr="http://demaco.consob/ArchiflowWeb/images/indicator.gif">
          <a:extLst>
            <a:ext uri="{FF2B5EF4-FFF2-40B4-BE49-F238E27FC236}">
              <a16:creationId xmlns:a16="http://schemas.microsoft.com/office/drawing/2014/main" id="{00000000-0008-0000-0000-0000B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32" name="Immagine 1631" descr="http://demaco.consob/ArchiflowWeb/images/indicator.gif">
          <a:extLst>
            <a:ext uri="{FF2B5EF4-FFF2-40B4-BE49-F238E27FC236}">
              <a16:creationId xmlns:a16="http://schemas.microsoft.com/office/drawing/2014/main" id="{00000000-0008-0000-0000-0000B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33" name="Immagine 1632" descr="http://demaco.consob/ArchiflowWeb/images/indicator.gif">
          <a:extLst>
            <a:ext uri="{FF2B5EF4-FFF2-40B4-BE49-F238E27FC236}">
              <a16:creationId xmlns:a16="http://schemas.microsoft.com/office/drawing/2014/main" id="{00000000-0008-0000-0000-0000B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34" name="Immagine 1633" descr="http://demaco.consob/ArchiflowWeb/images/indicator.gif">
          <a:extLst>
            <a:ext uri="{FF2B5EF4-FFF2-40B4-BE49-F238E27FC236}">
              <a16:creationId xmlns:a16="http://schemas.microsoft.com/office/drawing/2014/main" id="{00000000-0008-0000-0000-0000B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35" name="Immagine 1634" descr="http://demaco.consob/ArchiflowWeb/images/indicator.gif">
          <a:extLst>
            <a:ext uri="{FF2B5EF4-FFF2-40B4-BE49-F238E27FC236}">
              <a16:creationId xmlns:a16="http://schemas.microsoft.com/office/drawing/2014/main" id="{00000000-0008-0000-0000-0000B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36" name="Immagine 1635" descr="http://demaco.consob/ArchiflowWeb/images/indicator.gif">
          <a:extLst>
            <a:ext uri="{FF2B5EF4-FFF2-40B4-BE49-F238E27FC236}">
              <a16:creationId xmlns:a16="http://schemas.microsoft.com/office/drawing/2014/main" id="{00000000-0008-0000-0000-0000B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37" name="Immagine 1636" descr="http://demaco.consob/ArchiflowWeb/images/indicator.gif">
          <a:extLst>
            <a:ext uri="{FF2B5EF4-FFF2-40B4-BE49-F238E27FC236}">
              <a16:creationId xmlns:a16="http://schemas.microsoft.com/office/drawing/2014/main" id="{00000000-0008-0000-0000-0000B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38" name="Immagine 1637" descr="http://demaco.consob/ArchiflowWeb/images/indicator.gif">
          <a:extLst>
            <a:ext uri="{FF2B5EF4-FFF2-40B4-BE49-F238E27FC236}">
              <a16:creationId xmlns:a16="http://schemas.microsoft.com/office/drawing/2014/main" id="{00000000-0008-0000-0000-0000B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39" name="Immagine 1638" descr="http://demaco.consob/ArchiflowWeb/images/indicator.gif">
          <a:extLst>
            <a:ext uri="{FF2B5EF4-FFF2-40B4-BE49-F238E27FC236}">
              <a16:creationId xmlns:a16="http://schemas.microsoft.com/office/drawing/2014/main" id="{00000000-0008-0000-0000-0000B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40" name="Immagine 1639" descr="http://demaco.consob/ArchiflowWeb/images/indicator.gif">
          <a:extLst>
            <a:ext uri="{FF2B5EF4-FFF2-40B4-BE49-F238E27FC236}">
              <a16:creationId xmlns:a16="http://schemas.microsoft.com/office/drawing/2014/main" id="{00000000-0008-0000-0000-0000B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1" name="Immagine 1640" descr="http://demaco.consob/ArchiflowWeb/images/indicator.gif">
          <a:extLst>
            <a:ext uri="{FF2B5EF4-FFF2-40B4-BE49-F238E27FC236}">
              <a16:creationId xmlns:a16="http://schemas.microsoft.com/office/drawing/2014/main" id="{00000000-0008-0000-0000-0000C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42" name="Immagine 1641" descr="http://demaco.consob/ArchiflowWeb/images/indicator.gif">
          <a:extLst>
            <a:ext uri="{FF2B5EF4-FFF2-40B4-BE49-F238E27FC236}">
              <a16:creationId xmlns:a16="http://schemas.microsoft.com/office/drawing/2014/main" id="{00000000-0008-0000-0000-0000C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3" name="Immagine 1642" descr="http://demaco.consob/ArchiflowWeb/images/indicator.gif">
          <a:extLst>
            <a:ext uri="{FF2B5EF4-FFF2-40B4-BE49-F238E27FC236}">
              <a16:creationId xmlns:a16="http://schemas.microsoft.com/office/drawing/2014/main" id="{00000000-0008-0000-0000-0000C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44" name="Immagine 1643" descr="http://demaco.consob/ArchiflowWeb/images/indicator.gif">
          <a:extLst>
            <a:ext uri="{FF2B5EF4-FFF2-40B4-BE49-F238E27FC236}">
              <a16:creationId xmlns:a16="http://schemas.microsoft.com/office/drawing/2014/main" id="{00000000-0008-0000-0000-0000C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5" name="Immagine 1644" descr="http://demaco.consob/ArchiflowWeb/images/indicator.gif">
          <a:extLst>
            <a:ext uri="{FF2B5EF4-FFF2-40B4-BE49-F238E27FC236}">
              <a16:creationId xmlns:a16="http://schemas.microsoft.com/office/drawing/2014/main" id="{00000000-0008-0000-0000-0000C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6" name="Immagine 1645" descr="http://demaco.consob/ArchiflowWeb/images/indicator.gif">
          <a:extLst>
            <a:ext uri="{FF2B5EF4-FFF2-40B4-BE49-F238E27FC236}">
              <a16:creationId xmlns:a16="http://schemas.microsoft.com/office/drawing/2014/main" id="{00000000-0008-0000-0000-0000C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7" name="Immagine 1646" descr="http://demaco.consob/ArchiflowWeb/images/indicator.gif">
          <a:extLst>
            <a:ext uri="{FF2B5EF4-FFF2-40B4-BE49-F238E27FC236}">
              <a16:creationId xmlns:a16="http://schemas.microsoft.com/office/drawing/2014/main" id="{00000000-0008-0000-0000-0000C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8" name="Immagine 1647" descr="http://demaco.consob/ArchiflowWeb/images/indicator.gif">
          <a:extLst>
            <a:ext uri="{FF2B5EF4-FFF2-40B4-BE49-F238E27FC236}">
              <a16:creationId xmlns:a16="http://schemas.microsoft.com/office/drawing/2014/main" id="{00000000-0008-0000-0000-0000C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49" name="Immagine 1648" descr="http://demaco.consob/ArchiflowWeb/images/indicator.gif">
          <a:extLst>
            <a:ext uri="{FF2B5EF4-FFF2-40B4-BE49-F238E27FC236}">
              <a16:creationId xmlns:a16="http://schemas.microsoft.com/office/drawing/2014/main" id="{00000000-0008-0000-0000-0000C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0" name="Immagine 1649" descr="http://demaco.consob/ArchiflowWeb/images/indicator.gif">
          <a:extLst>
            <a:ext uri="{FF2B5EF4-FFF2-40B4-BE49-F238E27FC236}">
              <a16:creationId xmlns:a16="http://schemas.microsoft.com/office/drawing/2014/main" id="{00000000-0008-0000-0000-0000C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1" name="Immagine 1650" descr="http://demaco.consob/ArchiflowWeb/images/indicator.gif">
          <a:extLst>
            <a:ext uri="{FF2B5EF4-FFF2-40B4-BE49-F238E27FC236}">
              <a16:creationId xmlns:a16="http://schemas.microsoft.com/office/drawing/2014/main" id="{00000000-0008-0000-0000-0000C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2" name="Immagine 1651" descr="http://demaco.consob/ArchiflowWeb/images/indicator.gif">
          <a:extLst>
            <a:ext uri="{FF2B5EF4-FFF2-40B4-BE49-F238E27FC236}">
              <a16:creationId xmlns:a16="http://schemas.microsoft.com/office/drawing/2014/main" id="{00000000-0008-0000-0000-0000C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3" name="Immagine 1652" descr="http://demaco.consob/ArchiflowWeb/images/indicator.gif">
          <a:extLst>
            <a:ext uri="{FF2B5EF4-FFF2-40B4-BE49-F238E27FC236}">
              <a16:creationId xmlns:a16="http://schemas.microsoft.com/office/drawing/2014/main" id="{00000000-0008-0000-0000-0000C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4" name="Immagine 1653" descr="http://demaco.consob/ArchiflowWeb/images/indicator.gif">
          <a:extLst>
            <a:ext uri="{FF2B5EF4-FFF2-40B4-BE49-F238E27FC236}">
              <a16:creationId xmlns:a16="http://schemas.microsoft.com/office/drawing/2014/main" id="{00000000-0008-0000-0000-0000C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5" name="Immagine 1654" descr="http://demaco.consob/ArchiflowWeb/images/indicator.gif">
          <a:extLst>
            <a:ext uri="{FF2B5EF4-FFF2-40B4-BE49-F238E27FC236}">
              <a16:creationId xmlns:a16="http://schemas.microsoft.com/office/drawing/2014/main" id="{00000000-0008-0000-0000-0000C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6" name="Immagine 1655" descr="http://demaco.consob/ArchiflowWeb/images/indicator.gif">
          <a:extLst>
            <a:ext uri="{FF2B5EF4-FFF2-40B4-BE49-F238E27FC236}">
              <a16:creationId xmlns:a16="http://schemas.microsoft.com/office/drawing/2014/main" id="{00000000-0008-0000-0000-0000C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7" name="Immagine 1656" descr="http://demaco.consob/ArchiflowWeb/images/indicator.gif">
          <a:extLst>
            <a:ext uri="{FF2B5EF4-FFF2-40B4-BE49-F238E27FC236}">
              <a16:creationId xmlns:a16="http://schemas.microsoft.com/office/drawing/2014/main" id="{00000000-0008-0000-0000-0000D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8" name="Immagine 1657" descr="http://demaco.consob/ArchiflowWeb/images/indicator.gif">
          <a:extLst>
            <a:ext uri="{FF2B5EF4-FFF2-40B4-BE49-F238E27FC236}">
              <a16:creationId xmlns:a16="http://schemas.microsoft.com/office/drawing/2014/main" id="{00000000-0008-0000-0000-0000D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59" name="Immagine 1658" descr="http://demaco.consob/ArchiflowWeb/images/indicator.gif">
          <a:extLst>
            <a:ext uri="{FF2B5EF4-FFF2-40B4-BE49-F238E27FC236}">
              <a16:creationId xmlns:a16="http://schemas.microsoft.com/office/drawing/2014/main" id="{00000000-0008-0000-0000-0000D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0" name="Immagine 1659" descr="http://demaco.consob/ArchiflowWeb/images/indicator.gif">
          <a:extLst>
            <a:ext uri="{FF2B5EF4-FFF2-40B4-BE49-F238E27FC236}">
              <a16:creationId xmlns:a16="http://schemas.microsoft.com/office/drawing/2014/main" id="{00000000-0008-0000-0000-0000D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1" name="Immagine 1660" descr="http://demaco.consob/ArchiflowWeb/images/indicator.gif">
          <a:extLst>
            <a:ext uri="{FF2B5EF4-FFF2-40B4-BE49-F238E27FC236}">
              <a16:creationId xmlns:a16="http://schemas.microsoft.com/office/drawing/2014/main" id="{00000000-0008-0000-0000-0000D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2" name="Immagine 1661" descr="http://demaco.consob/ArchiflowWeb/images/indicator.gif">
          <a:extLst>
            <a:ext uri="{FF2B5EF4-FFF2-40B4-BE49-F238E27FC236}">
              <a16:creationId xmlns:a16="http://schemas.microsoft.com/office/drawing/2014/main" id="{00000000-0008-0000-0000-0000D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3" name="Immagine 1662" descr="http://demaco.consob/ArchiflowWeb/images/indicator.gif">
          <a:extLst>
            <a:ext uri="{FF2B5EF4-FFF2-40B4-BE49-F238E27FC236}">
              <a16:creationId xmlns:a16="http://schemas.microsoft.com/office/drawing/2014/main" id="{00000000-0008-0000-0000-0000D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64" name="Immagine 1663" descr="http://demaco.consob/ArchiflowWeb/images/indicator.gif">
          <a:extLst>
            <a:ext uri="{FF2B5EF4-FFF2-40B4-BE49-F238E27FC236}">
              <a16:creationId xmlns:a16="http://schemas.microsoft.com/office/drawing/2014/main" id="{00000000-0008-0000-0000-0000D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5" name="Immagine 1664" descr="http://demaco.consob/ArchiflowWeb/images/indicator.gif">
          <a:extLst>
            <a:ext uri="{FF2B5EF4-FFF2-40B4-BE49-F238E27FC236}">
              <a16:creationId xmlns:a16="http://schemas.microsoft.com/office/drawing/2014/main" id="{00000000-0008-0000-0000-0000D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66" name="Immagine 1665" descr="http://demaco.consob/ArchiflowWeb/images/indicator.gif">
          <a:extLst>
            <a:ext uri="{FF2B5EF4-FFF2-40B4-BE49-F238E27FC236}">
              <a16:creationId xmlns:a16="http://schemas.microsoft.com/office/drawing/2014/main" id="{00000000-0008-0000-0000-0000D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7" name="Immagine 1666" descr="http://demaco.consob/ArchiflowWeb/images/indicator.gif">
          <a:extLst>
            <a:ext uri="{FF2B5EF4-FFF2-40B4-BE49-F238E27FC236}">
              <a16:creationId xmlns:a16="http://schemas.microsoft.com/office/drawing/2014/main" id="{00000000-0008-0000-0000-0000D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68" name="Immagine 1667" descr="http://demaco.consob/ArchiflowWeb/images/indicator.gif">
          <a:extLst>
            <a:ext uri="{FF2B5EF4-FFF2-40B4-BE49-F238E27FC236}">
              <a16:creationId xmlns:a16="http://schemas.microsoft.com/office/drawing/2014/main" id="{00000000-0008-0000-0000-0000D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69" name="Immagine 1668" descr="http://demaco.consob/ArchiflowWeb/images/indicator.gif">
          <a:extLst>
            <a:ext uri="{FF2B5EF4-FFF2-40B4-BE49-F238E27FC236}">
              <a16:creationId xmlns:a16="http://schemas.microsoft.com/office/drawing/2014/main" id="{00000000-0008-0000-0000-0000D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70" name="Immagine 1669" descr="http://demaco.consob/ArchiflowWeb/images/indicator.gif">
          <a:extLst>
            <a:ext uri="{FF2B5EF4-FFF2-40B4-BE49-F238E27FC236}">
              <a16:creationId xmlns:a16="http://schemas.microsoft.com/office/drawing/2014/main" id="{00000000-0008-0000-0000-0000D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71" name="Immagine 1670" descr="http://demaco.consob/ArchiflowWeb/images/indicator.gif">
          <a:extLst>
            <a:ext uri="{FF2B5EF4-FFF2-40B4-BE49-F238E27FC236}">
              <a16:creationId xmlns:a16="http://schemas.microsoft.com/office/drawing/2014/main" id="{00000000-0008-0000-0000-0000D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72" name="Immagine 1671" descr="http://demaco.consob/ArchiflowWeb/images/indicator.gif">
          <a:extLst>
            <a:ext uri="{FF2B5EF4-FFF2-40B4-BE49-F238E27FC236}">
              <a16:creationId xmlns:a16="http://schemas.microsoft.com/office/drawing/2014/main" id="{00000000-0008-0000-0000-0000D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73" name="Immagine 1672" descr="http://demaco.consob/ArchiflowWeb/images/indicator.gif">
          <a:extLst>
            <a:ext uri="{FF2B5EF4-FFF2-40B4-BE49-F238E27FC236}">
              <a16:creationId xmlns:a16="http://schemas.microsoft.com/office/drawing/2014/main" id="{00000000-0008-0000-0000-0000E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74" name="Immagine 1673" descr="http://demaco.consob/ArchiflowWeb/images/indicator.gif">
          <a:extLst>
            <a:ext uri="{FF2B5EF4-FFF2-40B4-BE49-F238E27FC236}">
              <a16:creationId xmlns:a16="http://schemas.microsoft.com/office/drawing/2014/main" id="{00000000-0008-0000-0000-0000E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75" name="Immagine 1674" descr="http://demaco.consob/ArchiflowWeb/images/indicator.gif">
          <a:extLst>
            <a:ext uri="{FF2B5EF4-FFF2-40B4-BE49-F238E27FC236}">
              <a16:creationId xmlns:a16="http://schemas.microsoft.com/office/drawing/2014/main" id="{00000000-0008-0000-0000-0000E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76" name="Immagine 1675" descr="http://demaco.consob/ArchiflowWeb/images/indicator.gif">
          <a:extLst>
            <a:ext uri="{FF2B5EF4-FFF2-40B4-BE49-F238E27FC236}">
              <a16:creationId xmlns:a16="http://schemas.microsoft.com/office/drawing/2014/main" id="{00000000-0008-0000-0000-0000E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77" name="Immagine 1676" descr="http://demaco.consob/ArchiflowWeb/images/indicator.gif">
          <a:extLst>
            <a:ext uri="{FF2B5EF4-FFF2-40B4-BE49-F238E27FC236}">
              <a16:creationId xmlns:a16="http://schemas.microsoft.com/office/drawing/2014/main" id="{00000000-0008-0000-0000-0000E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78" name="Immagine 1677" descr="http://demaco.consob/ArchiflowWeb/images/indicator.gif">
          <a:extLst>
            <a:ext uri="{FF2B5EF4-FFF2-40B4-BE49-F238E27FC236}">
              <a16:creationId xmlns:a16="http://schemas.microsoft.com/office/drawing/2014/main" id="{00000000-0008-0000-0000-0000E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79" name="Immagine 1678" descr="http://demaco.consob/ArchiflowWeb/images/indicator.gif">
          <a:extLst>
            <a:ext uri="{FF2B5EF4-FFF2-40B4-BE49-F238E27FC236}">
              <a16:creationId xmlns:a16="http://schemas.microsoft.com/office/drawing/2014/main" id="{00000000-0008-0000-0000-0000E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80" name="Immagine 1679" descr="http://demaco.consob/ArchiflowWeb/images/indicator.gif">
          <a:extLst>
            <a:ext uri="{FF2B5EF4-FFF2-40B4-BE49-F238E27FC236}">
              <a16:creationId xmlns:a16="http://schemas.microsoft.com/office/drawing/2014/main" id="{00000000-0008-0000-0000-0000E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81" name="Immagine 1680" descr="http://demaco.consob/ArchiflowWeb/images/indicator.gif">
          <a:extLst>
            <a:ext uri="{FF2B5EF4-FFF2-40B4-BE49-F238E27FC236}">
              <a16:creationId xmlns:a16="http://schemas.microsoft.com/office/drawing/2014/main" id="{00000000-0008-0000-0000-0000E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82" name="Immagine 1681" descr="http://demaco.consob/ArchiflowWeb/images/indicator.gif">
          <a:extLst>
            <a:ext uri="{FF2B5EF4-FFF2-40B4-BE49-F238E27FC236}">
              <a16:creationId xmlns:a16="http://schemas.microsoft.com/office/drawing/2014/main" id="{00000000-0008-0000-0000-0000E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83" name="Immagine 1682" descr="http://demaco.consob/ArchiflowWeb/images/indicator.gif">
          <a:extLst>
            <a:ext uri="{FF2B5EF4-FFF2-40B4-BE49-F238E27FC236}">
              <a16:creationId xmlns:a16="http://schemas.microsoft.com/office/drawing/2014/main" id="{00000000-0008-0000-0000-0000E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84" name="Immagine 1683" descr="http://demaco.consob/ArchiflowWeb/images/indicator.gif">
          <a:extLst>
            <a:ext uri="{FF2B5EF4-FFF2-40B4-BE49-F238E27FC236}">
              <a16:creationId xmlns:a16="http://schemas.microsoft.com/office/drawing/2014/main" id="{00000000-0008-0000-0000-0000E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85" name="Immagine 1684" descr="http://demaco.consob/ArchiflowWeb/images/indicator.gif">
          <a:extLst>
            <a:ext uri="{FF2B5EF4-FFF2-40B4-BE49-F238E27FC236}">
              <a16:creationId xmlns:a16="http://schemas.microsoft.com/office/drawing/2014/main" id="{00000000-0008-0000-0000-0000E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86" name="Immagine 1685" descr="http://demaco.consob/ArchiflowWeb/images/indicator.gif">
          <a:extLst>
            <a:ext uri="{FF2B5EF4-FFF2-40B4-BE49-F238E27FC236}">
              <a16:creationId xmlns:a16="http://schemas.microsoft.com/office/drawing/2014/main" id="{00000000-0008-0000-0000-0000E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87" name="Immagine 1686" descr="http://demaco.consob/ArchiflowWeb/images/indicator.gif">
          <a:extLst>
            <a:ext uri="{FF2B5EF4-FFF2-40B4-BE49-F238E27FC236}">
              <a16:creationId xmlns:a16="http://schemas.microsoft.com/office/drawing/2014/main" id="{00000000-0008-0000-0000-0000E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88" name="Immagine 1687" descr="http://demaco.consob/ArchiflowWeb/images/indicator.gif">
          <a:extLst>
            <a:ext uri="{FF2B5EF4-FFF2-40B4-BE49-F238E27FC236}">
              <a16:creationId xmlns:a16="http://schemas.microsoft.com/office/drawing/2014/main" id="{00000000-0008-0000-0000-0000E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89" name="Immagine 1688" descr="http://demaco.consob/ArchiflowWeb/images/indicator.gif">
          <a:extLst>
            <a:ext uri="{FF2B5EF4-FFF2-40B4-BE49-F238E27FC236}">
              <a16:creationId xmlns:a16="http://schemas.microsoft.com/office/drawing/2014/main" id="{00000000-0008-0000-0000-0000F0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90" name="Immagine 1689" descr="http://demaco.consob/ArchiflowWeb/images/indicator.gif">
          <a:extLst>
            <a:ext uri="{FF2B5EF4-FFF2-40B4-BE49-F238E27FC236}">
              <a16:creationId xmlns:a16="http://schemas.microsoft.com/office/drawing/2014/main" id="{00000000-0008-0000-0000-0000F1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91" name="Immagine 1690" descr="http://demaco.consob/ArchiflowWeb/images/indicator.gif">
          <a:extLst>
            <a:ext uri="{FF2B5EF4-FFF2-40B4-BE49-F238E27FC236}">
              <a16:creationId xmlns:a16="http://schemas.microsoft.com/office/drawing/2014/main" id="{00000000-0008-0000-0000-0000F2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92" name="Immagine 1691" descr="http://demaco.consob/ArchiflowWeb/images/indicator.gif">
          <a:extLst>
            <a:ext uri="{FF2B5EF4-FFF2-40B4-BE49-F238E27FC236}">
              <a16:creationId xmlns:a16="http://schemas.microsoft.com/office/drawing/2014/main" id="{00000000-0008-0000-0000-0000F3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93" name="Immagine 1692" descr="http://demaco.consob/ArchiflowWeb/images/indicator.gif">
          <a:extLst>
            <a:ext uri="{FF2B5EF4-FFF2-40B4-BE49-F238E27FC236}">
              <a16:creationId xmlns:a16="http://schemas.microsoft.com/office/drawing/2014/main" id="{00000000-0008-0000-0000-0000F4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94" name="Immagine 1693" descr="http://demaco.consob/ArchiflowWeb/images/indicator.gif">
          <a:extLst>
            <a:ext uri="{FF2B5EF4-FFF2-40B4-BE49-F238E27FC236}">
              <a16:creationId xmlns:a16="http://schemas.microsoft.com/office/drawing/2014/main" id="{00000000-0008-0000-0000-0000F5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95" name="Immagine 1694" descr="http://demaco.consob/ArchiflowWeb/images/indicator.gif">
          <a:extLst>
            <a:ext uri="{FF2B5EF4-FFF2-40B4-BE49-F238E27FC236}">
              <a16:creationId xmlns:a16="http://schemas.microsoft.com/office/drawing/2014/main" id="{00000000-0008-0000-0000-0000F6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96" name="Immagine 1695" descr="http://demaco.consob/ArchiflowWeb/images/indicator.gif">
          <a:extLst>
            <a:ext uri="{FF2B5EF4-FFF2-40B4-BE49-F238E27FC236}">
              <a16:creationId xmlns:a16="http://schemas.microsoft.com/office/drawing/2014/main" id="{00000000-0008-0000-0000-0000F7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97" name="Immagine 1696" descr="http://demaco.consob/ArchiflowWeb/images/indicator.gif">
          <a:extLst>
            <a:ext uri="{FF2B5EF4-FFF2-40B4-BE49-F238E27FC236}">
              <a16:creationId xmlns:a16="http://schemas.microsoft.com/office/drawing/2014/main" id="{00000000-0008-0000-0000-0000F8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698" name="Immagine 1697" descr="http://demaco.consob/ArchiflowWeb/images/indicator.gif">
          <a:extLst>
            <a:ext uri="{FF2B5EF4-FFF2-40B4-BE49-F238E27FC236}">
              <a16:creationId xmlns:a16="http://schemas.microsoft.com/office/drawing/2014/main" id="{00000000-0008-0000-0000-0000F9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699" name="Immagine 1698" descr="http://demaco.consob/ArchiflowWeb/images/indicator.gif">
          <a:extLst>
            <a:ext uri="{FF2B5EF4-FFF2-40B4-BE49-F238E27FC236}">
              <a16:creationId xmlns:a16="http://schemas.microsoft.com/office/drawing/2014/main" id="{00000000-0008-0000-0000-0000FA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0" name="Immagine 1699" descr="http://demaco.consob/ArchiflowWeb/images/indicator.gif">
          <a:extLst>
            <a:ext uri="{FF2B5EF4-FFF2-40B4-BE49-F238E27FC236}">
              <a16:creationId xmlns:a16="http://schemas.microsoft.com/office/drawing/2014/main" id="{00000000-0008-0000-0000-0000FB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1" name="Immagine 1700" descr="http://demaco.consob/ArchiflowWeb/images/indicator.gif">
          <a:extLst>
            <a:ext uri="{FF2B5EF4-FFF2-40B4-BE49-F238E27FC236}">
              <a16:creationId xmlns:a16="http://schemas.microsoft.com/office/drawing/2014/main" id="{00000000-0008-0000-0000-0000FC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2" name="Immagine 1701" descr="http://demaco.consob/ArchiflowWeb/images/indicator.gif">
          <a:extLst>
            <a:ext uri="{FF2B5EF4-FFF2-40B4-BE49-F238E27FC236}">
              <a16:creationId xmlns:a16="http://schemas.microsoft.com/office/drawing/2014/main" id="{00000000-0008-0000-0000-0000FD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3" name="Immagine 1702" descr="http://demaco.consob/ArchiflowWeb/images/indicator.gif">
          <a:extLst>
            <a:ext uri="{FF2B5EF4-FFF2-40B4-BE49-F238E27FC236}">
              <a16:creationId xmlns:a16="http://schemas.microsoft.com/office/drawing/2014/main" id="{00000000-0008-0000-0000-0000FE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4" name="Immagine 1703" descr="http://demaco.consob/ArchiflowWeb/images/indicator.gif">
          <a:extLst>
            <a:ext uri="{FF2B5EF4-FFF2-40B4-BE49-F238E27FC236}">
              <a16:creationId xmlns:a16="http://schemas.microsoft.com/office/drawing/2014/main" id="{00000000-0008-0000-0000-0000FF02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5" name="Immagine 1704" descr="http://demaco.consob/ArchiflowWeb/images/indicator.gif">
          <a:extLst>
            <a:ext uri="{FF2B5EF4-FFF2-40B4-BE49-F238E27FC236}">
              <a16:creationId xmlns:a16="http://schemas.microsoft.com/office/drawing/2014/main" id="{00000000-0008-0000-0000-00000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6" name="Immagine 1705" descr="http://demaco.consob/ArchiflowWeb/images/indicator.gif">
          <a:extLst>
            <a:ext uri="{FF2B5EF4-FFF2-40B4-BE49-F238E27FC236}">
              <a16:creationId xmlns:a16="http://schemas.microsoft.com/office/drawing/2014/main" id="{00000000-0008-0000-0000-00000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7" name="Immagine 1706" descr="http://demaco.consob/ArchiflowWeb/images/indicator.gif">
          <a:extLst>
            <a:ext uri="{FF2B5EF4-FFF2-40B4-BE49-F238E27FC236}">
              <a16:creationId xmlns:a16="http://schemas.microsoft.com/office/drawing/2014/main" id="{00000000-0008-0000-0000-00000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8" name="Immagine 1707" descr="http://demaco.consob/ArchiflowWeb/images/indicator.gif">
          <a:extLst>
            <a:ext uri="{FF2B5EF4-FFF2-40B4-BE49-F238E27FC236}">
              <a16:creationId xmlns:a16="http://schemas.microsoft.com/office/drawing/2014/main" id="{00000000-0008-0000-0000-00000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09" name="Immagine 1708" descr="http://demaco.consob/ArchiflowWeb/images/indicator.gif">
          <a:extLst>
            <a:ext uri="{FF2B5EF4-FFF2-40B4-BE49-F238E27FC236}">
              <a16:creationId xmlns:a16="http://schemas.microsoft.com/office/drawing/2014/main" id="{00000000-0008-0000-0000-00000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0" name="Immagine 1709" descr="http://demaco.consob/ArchiflowWeb/images/indicator.gif">
          <a:extLst>
            <a:ext uri="{FF2B5EF4-FFF2-40B4-BE49-F238E27FC236}">
              <a16:creationId xmlns:a16="http://schemas.microsoft.com/office/drawing/2014/main" id="{00000000-0008-0000-0000-00000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1" name="Immagine 1710" descr="http://demaco.consob/ArchiflowWeb/images/indicator.gif">
          <a:extLst>
            <a:ext uri="{FF2B5EF4-FFF2-40B4-BE49-F238E27FC236}">
              <a16:creationId xmlns:a16="http://schemas.microsoft.com/office/drawing/2014/main" id="{00000000-0008-0000-0000-00000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2" name="Immagine 1711" descr="http://demaco.consob/ArchiflowWeb/images/indicator.gif">
          <a:extLst>
            <a:ext uri="{FF2B5EF4-FFF2-40B4-BE49-F238E27FC236}">
              <a16:creationId xmlns:a16="http://schemas.microsoft.com/office/drawing/2014/main" id="{00000000-0008-0000-0000-00000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3" name="Immagine 1712" descr="http://demaco.consob/ArchiflowWeb/images/indicator.gif">
          <a:extLst>
            <a:ext uri="{FF2B5EF4-FFF2-40B4-BE49-F238E27FC236}">
              <a16:creationId xmlns:a16="http://schemas.microsoft.com/office/drawing/2014/main" id="{00000000-0008-0000-0000-00000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4" name="Immagine 1713" descr="http://demaco.consob/ArchiflowWeb/images/indicator.gif">
          <a:extLst>
            <a:ext uri="{FF2B5EF4-FFF2-40B4-BE49-F238E27FC236}">
              <a16:creationId xmlns:a16="http://schemas.microsoft.com/office/drawing/2014/main" id="{00000000-0008-0000-0000-00000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5" name="Immagine 1714" descr="http://demaco.consob/ArchiflowWeb/images/indicator.gif">
          <a:extLst>
            <a:ext uri="{FF2B5EF4-FFF2-40B4-BE49-F238E27FC236}">
              <a16:creationId xmlns:a16="http://schemas.microsoft.com/office/drawing/2014/main" id="{00000000-0008-0000-0000-00000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6" name="Immagine 1715" descr="http://demaco.consob/ArchiflowWeb/images/indicator.gif">
          <a:extLst>
            <a:ext uri="{FF2B5EF4-FFF2-40B4-BE49-F238E27FC236}">
              <a16:creationId xmlns:a16="http://schemas.microsoft.com/office/drawing/2014/main" id="{00000000-0008-0000-0000-00000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7" name="Immagine 1716" descr="http://demaco.consob/ArchiflowWeb/images/indicator.gif">
          <a:extLst>
            <a:ext uri="{FF2B5EF4-FFF2-40B4-BE49-F238E27FC236}">
              <a16:creationId xmlns:a16="http://schemas.microsoft.com/office/drawing/2014/main" id="{00000000-0008-0000-0000-00000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18" name="Immagine 1717" descr="http://demaco.consob/ArchiflowWeb/images/indicator.gif">
          <a:extLst>
            <a:ext uri="{FF2B5EF4-FFF2-40B4-BE49-F238E27FC236}">
              <a16:creationId xmlns:a16="http://schemas.microsoft.com/office/drawing/2014/main" id="{00000000-0008-0000-0000-00000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19" name="Immagine 1718" descr="http://demaco.consob/ArchiflowWeb/images/indicator.gif">
          <a:extLst>
            <a:ext uri="{FF2B5EF4-FFF2-40B4-BE49-F238E27FC236}">
              <a16:creationId xmlns:a16="http://schemas.microsoft.com/office/drawing/2014/main" id="{00000000-0008-0000-0000-00000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20" name="Immagine 1719" descr="http://demaco.consob/ArchiflowWeb/images/indicator.gif">
          <a:extLst>
            <a:ext uri="{FF2B5EF4-FFF2-40B4-BE49-F238E27FC236}">
              <a16:creationId xmlns:a16="http://schemas.microsoft.com/office/drawing/2014/main" id="{00000000-0008-0000-0000-00000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21" name="Immagine 1720" descr="http://demaco.consob/ArchiflowWeb/images/indicator.gif">
          <a:extLst>
            <a:ext uri="{FF2B5EF4-FFF2-40B4-BE49-F238E27FC236}">
              <a16:creationId xmlns:a16="http://schemas.microsoft.com/office/drawing/2014/main" id="{00000000-0008-0000-0000-00001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22" name="Immagine 1721" descr="http://demaco.consob/ArchiflowWeb/images/indicator.gif">
          <a:extLst>
            <a:ext uri="{FF2B5EF4-FFF2-40B4-BE49-F238E27FC236}">
              <a16:creationId xmlns:a16="http://schemas.microsoft.com/office/drawing/2014/main" id="{00000000-0008-0000-0000-00001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23" name="Immagine 1722" descr="http://demaco.consob/ArchiflowWeb/images/indicator.gif">
          <a:extLst>
            <a:ext uri="{FF2B5EF4-FFF2-40B4-BE49-F238E27FC236}">
              <a16:creationId xmlns:a16="http://schemas.microsoft.com/office/drawing/2014/main" id="{00000000-0008-0000-0000-00001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24" name="Immagine 1723" descr="http://demaco.consob/ArchiflowWeb/images/indicator.gif">
          <a:extLst>
            <a:ext uri="{FF2B5EF4-FFF2-40B4-BE49-F238E27FC236}">
              <a16:creationId xmlns:a16="http://schemas.microsoft.com/office/drawing/2014/main" id="{00000000-0008-0000-0000-00001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25" name="Immagine 1724" descr="http://demaco.consob/ArchiflowWeb/images/indicator.gif">
          <a:extLst>
            <a:ext uri="{FF2B5EF4-FFF2-40B4-BE49-F238E27FC236}">
              <a16:creationId xmlns:a16="http://schemas.microsoft.com/office/drawing/2014/main" id="{00000000-0008-0000-0000-00001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26" name="Immagine 1725" descr="http://demaco.consob/ArchiflowWeb/images/indicator.gif">
          <a:extLst>
            <a:ext uri="{FF2B5EF4-FFF2-40B4-BE49-F238E27FC236}">
              <a16:creationId xmlns:a16="http://schemas.microsoft.com/office/drawing/2014/main" id="{00000000-0008-0000-0000-00001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27" name="Immagine 1726" descr="http://demaco.consob/ArchiflowWeb/images/indicator.gif">
          <a:extLst>
            <a:ext uri="{FF2B5EF4-FFF2-40B4-BE49-F238E27FC236}">
              <a16:creationId xmlns:a16="http://schemas.microsoft.com/office/drawing/2014/main" id="{00000000-0008-0000-0000-00001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28" name="Immagine 1727" descr="http://demaco.consob/ArchiflowWeb/images/indicator.gif">
          <a:extLst>
            <a:ext uri="{FF2B5EF4-FFF2-40B4-BE49-F238E27FC236}">
              <a16:creationId xmlns:a16="http://schemas.microsoft.com/office/drawing/2014/main" id="{00000000-0008-0000-0000-00001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29" name="Immagine 1728" descr="http://demaco.consob/ArchiflowWeb/images/indicator.gif">
          <a:extLst>
            <a:ext uri="{FF2B5EF4-FFF2-40B4-BE49-F238E27FC236}">
              <a16:creationId xmlns:a16="http://schemas.microsoft.com/office/drawing/2014/main" id="{00000000-0008-0000-0000-00001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30" name="Immagine 1729" descr="http://demaco.consob/ArchiflowWeb/images/indicator.gif">
          <a:extLst>
            <a:ext uri="{FF2B5EF4-FFF2-40B4-BE49-F238E27FC236}">
              <a16:creationId xmlns:a16="http://schemas.microsoft.com/office/drawing/2014/main" id="{00000000-0008-0000-0000-00001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31" name="Immagine 1730" descr="http://demaco.consob/ArchiflowWeb/images/indicator.gif">
          <a:extLst>
            <a:ext uri="{FF2B5EF4-FFF2-40B4-BE49-F238E27FC236}">
              <a16:creationId xmlns:a16="http://schemas.microsoft.com/office/drawing/2014/main" id="{00000000-0008-0000-0000-00001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32" name="Immagine 1731" descr="http://demaco.consob/ArchiflowWeb/images/indicator.gif">
          <a:extLst>
            <a:ext uri="{FF2B5EF4-FFF2-40B4-BE49-F238E27FC236}">
              <a16:creationId xmlns:a16="http://schemas.microsoft.com/office/drawing/2014/main" id="{00000000-0008-0000-0000-00001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33" name="Immagine 1732" descr="http://demaco.consob/ArchiflowWeb/images/indicator.gif">
          <a:extLst>
            <a:ext uri="{FF2B5EF4-FFF2-40B4-BE49-F238E27FC236}">
              <a16:creationId xmlns:a16="http://schemas.microsoft.com/office/drawing/2014/main" id="{00000000-0008-0000-0000-00001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34" name="Immagine 1733" descr="http://demaco.consob/ArchiflowWeb/images/indicator.gif">
          <a:extLst>
            <a:ext uri="{FF2B5EF4-FFF2-40B4-BE49-F238E27FC236}">
              <a16:creationId xmlns:a16="http://schemas.microsoft.com/office/drawing/2014/main" id="{00000000-0008-0000-0000-00001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35" name="Immagine 1734" descr="http://demaco.consob/ArchiflowWeb/images/indicator.gif">
          <a:extLst>
            <a:ext uri="{FF2B5EF4-FFF2-40B4-BE49-F238E27FC236}">
              <a16:creationId xmlns:a16="http://schemas.microsoft.com/office/drawing/2014/main" id="{00000000-0008-0000-0000-00001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36" name="Immagine 1735" descr="http://demaco.consob/ArchiflowWeb/images/indicator.gif">
          <a:extLst>
            <a:ext uri="{FF2B5EF4-FFF2-40B4-BE49-F238E27FC236}">
              <a16:creationId xmlns:a16="http://schemas.microsoft.com/office/drawing/2014/main" id="{00000000-0008-0000-0000-00001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37" name="Immagine 1736" descr="http://demaco.consob/ArchiflowWeb/images/indicator.gif">
          <a:extLst>
            <a:ext uri="{FF2B5EF4-FFF2-40B4-BE49-F238E27FC236}">
              <a16:creationId xmlns:a16="http://schemas.microsoft.com/office/drawing/2014/main" id="{00000000-0008-0000-0000-00002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38" name="Immagine 1737" descr="http://demaco.consob/ArchiflowWeb/images/indicator.gif">
          <a:extLst>
            <a:ext uri="{FF2B5EF4-FFF2-40B4-BE49-F238E27FC236}">
              <a16:creationId xmlns:a16="http://schemas.microsoft.com/office/drawing/2014/main" id="{00000000-0008-0000-0000-00002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39" name="Immagine 1738" descr="http://demaco.consob/ArchiflowWeb/images/indicator.gif">
          <a:extLst>
            <a:ext uri="{FF2B5EF4-FFF2-40B4-BE49-F238E27FC236}">
              <a16:creationId xmlns:a16="http://schemas.microsoft.com/office/drawing/2014/main" id="{00000000-0008-0000-0000-00002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40" name="Immagine 1739" descr="http://demaco.consob/ArchiflowWeb/images/indicator.gif">
          <a:extLst>
            <a:ext uri="{FF2B5EF4-FFF2-40B4-BE49-F238E27FC236}">
              <a16:creationId xmlns:a16="http://schemas.microsoft.com/office/drawing/2014/main" id="{00000000-0008-0000-0000-00002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41" name="Immagine 1740" descr="http://demaco.consob/ArchiflowWeb/images/indicator.gif">
          <a:extLst>
            <a:ext uri="{FF2B5EF4-FFF2-40B4-BE49-F238E27FC236}">
              <a16:creationId xmlns:a16="http://schemas.microsoft.com/office/drawing/2014/main" id="{00000000-0008-0000-0000-00002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42" name="Immagine 1741" descr="http://demaco.consob/ArchiflowWeb/images/indicator.gif">
          <a:extLst>
            <a:ext uri="{FF2B5EF4-FFF2-40B4-BE49-F238E27FC236}">
              <a16:creationId xmlns:a16="http://schemas.microsoft.com/office/drawing/2014/main" id="{00000000-0008-0000-0000-00002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43" name="Immagine 1742" descr="http://demaco.consob/ArchiflowWeb/images/indicator.gif">
          <a:extLst>
            <a:ext uri="{FF2B5EF4-FFF2-40B4-BE49-F238E27FC236}">
              <a16:creationId xmlns:a16="http://schemas.microsoft.com/office/drawing/2014/main" id="{00000000-0008-0000-0000-00002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44" name="Immagine 1743" descr="http://demaco.consob/ArchiflowWeb/images/indicator.gif">
          <a:extLst>
            <a:ext uri="{FF2B5EF4-FFF2-40B4-BE49-F238E27FC236}">
              <a16:creationId xmlns:a16="http://schemas.microsoft.com/office/drawing/2014/main" id="{00000000-0008-0000-0000-00002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45" name="Immagine 1744" descr="http://demaco.consob/ArchiflowWeb/images/indicator.gif">
          <a:extLst>
            <a:ext uri="{FF2B5EF4-FFF2-40B4-BE49-F238E27FC236}">
              <a16:creationId xmlns:a16="http://schemas.microsoft.com/office/drawing/2014/main" id="{00000000-0008-0000-0000-00002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46" name="Immagine 1745" descr="http://demaco.consob/ArchiflowWeb/images/indicator.gif">
          <a:extLst>
            <a:ext uri="{FF2B5EF4-FFF2-40B4-BE49-F238E27FC236}">
              <a16:creationId xmlns:a16="http://schemas.microsoft.com/office/drawing/2014/main" id="{00000000-0008-0000-0000-00002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47" name="Immagine 1746" descr="http://demaco.consob/ArchiflowWeb/images/indicator.gif">
          <a:extLst>
            <a:ext uri="{FF2B5EF4-FFF2-40B4-BE49-F238E27FC236}">
              <a16:creationId xmlns:a16="http://schemas.microsoft.com/office/drawing/2014/main" id="{00000000-0008-0000-0000-00002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48" name="Immagine 1747" descr="http://demaco.consob/ArchiflowWeb/images/indicator.gif">
          <a:extLst>
            <a:ext uri="{FF2B5EF4-FFF2-40B4-BE49-F238E27FC236}">
              <a16:creationId xmlns:a16="http://schemas.microsoft.com/office/drawing/2014/main" id="{00000000-0008-0000-0000-00002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49" name="Immagine 1748" descr="http://demaco.consob/ArchiflowWeb/images/indicator.gif">
          <a:extLst>
            <a:ext uri="{FF2B5EF4-FFF2-40B4-BE49-F238E27FC236}">
              <a16:creationId xmlns:a16="http://schemas.microsoft.com/office/drawing/2014/main" id="{00000000-0008-0000-0000-00002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50" name="Immagine 1749" descr="http://demaco.consob/ArchiflowWeb/images/indicator.gif">
          <a:extLst>
            <a:ext uri="{FF2B5EF4-FFF2-40B4-BE49-F238E27FC236}">
              <a16:creationId xmlns:a16="http://schemas.microsoft.com/office/drawing/2014/main" id="{00000000-0008-0000-0000-00002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51" name="Immagine 1750" descr="http://demaco.consob/ArchiflowWeb/images/indicator.gif">
          <a:extLst>
            <a:ext uri="{FF2B5EF4-FFF2-40B4-BE49-F238E27FC236}">
              <a16:creationId xmlns:a16="http://schemas.microsoft.com/office/drawing/2014/main" id="{00000000-0008-0000-0000-00002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52" name="Immagine 1751" descr="http://demaco.consob/ArchiflowWeb/images/indicator.gif">
          <a:extLst>
            <a:ext uri="{FF2B5EF4-FFF2-40B4-BE49-F238E27FC236}">
              <a16:creationId xmlns:a16="http://schemas.microsoft.com/office/drawing/2014/main" id="{00000000-0008-0000-0000-00002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53" name="Immagine 1752" descr="http://demaco.consob/ArchiflowWeb/images/indicator.gif">
          <a:extLst>
            <a:ext uri="{FF2B5EF4-FFF2-40B4-BE49-F238E27FC236}">
              <a16:creationId xmlns:a16="http://schemas.microsoft.com/office/drawing/2014/main" id="{00000000-0008-0000-0000-00003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54" name="Immagine 1753" descr="http://demaco.consob/ArchiflowWeb/images/indicator.gif">
          <a:extLst>
            <a:ext uri="{FF2B5EF4-FFF2-40B4-BE49-F238E27FC236}">
              <a16:creationId xmlns:a16="http://schemas.microsoft.com/office/drawing/2014/main" id="{00000000-0008-0000-0000-00003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55" name="Immagine 1754" descr="http://demaco.consob/ArchiflowWeb/images/indicator.gif">
          <a:extLst>
            <a:ext uri="{FF2B5EF4-FFF2-40B4-BE49-F238E27FC236}">
              <a16:creationId xmlns:a16="http://schemas.microsoft.com/office/drawing/2014/main" id="{00000000-0008-0000-0000-00003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56" name="Immagine 1755" descr="http://demaco.consob/ArchiflowWeb/images/indicator.gif">
          <a:extLst>
            <a:ext uri="{FF2B5EF4-FFF2-40B4-BE49-F238E27FC236}">
              <a16:creationId xmlns:a16="http://schemas.microsoft.com/office/drawing/2014/main" id="{00000000-0008-0000-0000-00003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57" name="Immagine 1756" descr="http://demaco.consob/ArchiflowWeb/images/indicator.gif">
          <a:extLst>
            <a:ext uri="{FF2B5EF4-FFF2-40B4-BE49-F238E27FC236}">
              <a16:creationId xmlns:a16="http://schemas.microsoft.com/office/drawing/2014/main" id="{00000000-0008-0000-0000-00003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58" name="Immagine 1757" descr="http://demaco.consob/ArchiflowWeb/images/indicator.gif">
          <a:extLst>
            <a:ext uri="{FF2B5EF4-FFF2-40B4-BE49-F238E27FC236}">
              <a16:creationId xmlns:a16="http://schemas.microsoft.com/office/drawing/2014/main" id="{00000000-0008-0000-0000-00003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59" name="Immagine 1758" descr="http://demaco.consob/ArchiflowWeb/images/indicator.gif">
          <a:extLst>
            <a:ext uri="{FF2B5EF4-FFF2-40B4-BE49-F238E27FC236}">
              <a16:creationId xmlns:a16="http://schemas.microsoft.com/office/drawing/2014/main" id="{00000000-0008-0000-0000-00003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60" name="Immagine 1759" descr="http://demaco.consob/ArchiflowWeb/images/indicator.gif">
          <a:extLst>
            <a:ext uri="{FF2B5EF4-FFF2-40B4-BE49-F238E27FC236}">
              <a16:creationId xmlns:a16="http://schemas.microsoft.com/office/drawing/2014/main" id="{00000000-0008-0000-0000-00003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61" name="Immagine 1760" descr="http://demaco.consob/ArchiflowWeb/images/indicator.gif">
          <a:extLst>
            <a:ext uri="{FF2B5EF4-FFF2-40B4-BE49-F238E27FC236}">
              <a16:creationId xmlns:a16="http://schemas.microsoft.com/office/drawing/2014/main" id="{00000000-0008-0000-0000-00003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62" name="Immagine 1761" descr="http://demaco.consob/ArchiflowWeb/images/indicator.gif">
          <a:extLst>
            <a:ext uri="{FF2B5EF4-FFF2-40B4-BE49-F238E27FC236}">
              <a16:creationId xmlns:a16="http://schemas.microsoft.com/office/drawing/2014/main" id="{00000000-0008-0000-0000-00003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63" name="Immagine 1762" descr="http://demaco.consob/ArchiflowWeb/images/indicator.gif">
          <a:extLst>
            <a:ext uri="{FF2B5EF4-FFF2-40B4-BE49-F238E27FC236}">
              <a16:creationId xmlns:a16="http://schemas.microsoft.com/office/drawing/2014/main" id="{00000000-0008-0000-0000-00003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64" name="Immagine 1763" descr="http://demaco.consob/ArchiflowWeb/images/indicator.gif">
          <a:extLst>
            <a:ext uri="{FF2B5EF4-FFF2-40B4-BE49-F238E27FC236}">
              <a16:creationId xmlns:a16="http://schemas.microsoft.com/office/drawing/2014/main" id="{00000000-0008-0000-0000-00003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65" name="Immagine 1764" descr="http://demaco.consob/ArchiflowWeb/images/indicator.gif">
          <a:extLst>
            <a:ext uri="{FF2B5EF4-FFF2-40B4-BE49-F238E27FC236}">
              <a16:creationId xmlns:a16="http://schemas.microsoft.com/office/drawing/2014/main" id="{00000000-0008-0000-0000-00003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66" name="Immagine 1765" descr="http://demaco.consob/ArchiflowWeb/images/indicator.gif">
          <a:extLst>
            <a:ext uri="{FF2B5EF4-FFF2-40B4-BE49-F238E27FC236}">
              <a16:creationId xmlns:a16="http://schemas.microsoft.com/office/drawing/2014/main" id="{00000000-0008-0000-0000-00003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67" name="Immagine 1766" descr="http://demaco.consob/ArchiflowWeb/images/indicator.gif">
          <a:extLst>
            <a:ext uri="{FF2B5EF4-FFF2-40B4-BE49-F238E27FC236}">
              <a16:creationId xmlns:a16="http://schemas.microsoft.com/office/drawing/2014/main" id="{00000000-0008-0000-0000-00003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68" name="Immagine 1767" descr="http://demaco.consob/ArchiflowWeb/images/indicator.gif">
          <a:extLst>
            <a:ext uri="{FF2B5EF4-FFF2-40B4-BE49-F238E27FC236}">
              <a16:creationId xmlns:a16="http://schemas.microsoft.com/office/drawing/2014/main" id="{00000000-0008-0000-0000-00003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69" name="Immagine 1768" descr="http://demaco.consob/ArchiflowWeb/images/indicator.gif">
          <a:extLst>
            <a:ext uri="{FF2B5EF4-FFF2-40B4-BE49-F238E27FC236}">
              <a16:creationId xmlns:a16="http://schemas.microsoft.com/office/drawing/2014/main" id="{00000000-0008-0000-0000-00004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70" name="Immagine 1769" descr="http://demaco.consob/ArchiflowWeb/images/indicator.gif">
          <a:extLst>
            <a:ext uri="{FF2B5EF4-FFF2-40B4-BE49-F238E27FC236}">
              <a16:creationId xmlns:a16="http://schemas.microsoft.com/office/drawing/2014/main" id="{00000000-0008-0000-0000-00004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71" name="Immagine 1770" descr="http://demaco.consob/ArchiflowWeb/images/indicator.gif">
          <a:extLst>
            <a:ext uri="{FF2B5EF4-FFF2-40B4-BE49-F238E27FC236}">
              <a16:creationId xmlns:a16="http://schemas.microsoft.com/office/drawing/2014/main" id="{00000000-0008-0000-0000-00004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72" name="Immagine 1771" descr="http://demaco.consob/ArchiflowWeb/images/indicator.gif">
          <a:extLst>
            <a:ext uri="{FF2B5EF4-FFF2-40B4-BE49-F238E27FC236}">
              <a16:creationId xmlns:a16="http://schemas.microsoft.com/office/drawing/2014/main" id="{00000000-0008-0000-0000-00004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73" name="Immagine 1772" descr="http://demaco.consob/ArchiflowWeb/images/indicator.gif">
          <a:extLst>
            <a:ext uri="{FF2B5EF4-FFF2-40B4-BE49-F238E27FC236}">
              <a16:creationId xmlns:a16="http://schemas.microsoft.com/office/drawing/2014/main" id="{00000000-0008-0000-0000-00004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74" name="Immagine 1773" descr="http://demaco.consob/ArchiflowWeb/images/indicator.gif">
          <a:extLst>
            <a:ext uri="{FF2B5EF4-FFF2-40B4-BE49-F238E27FC236}">
              <a16:creationId xmlns:a16="http://schemas.microsoft.com/office/drawing/2014/main" id="{00000000-0008-0000-0000-00004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75" name="Immagine 1774" descr="http://demaco.consob/ArchiflowWeb/images/indicator.gif">
          <a:extLst>
            <a:ext uri="{FF2B5EF4-FFF2-40B4-BE49-F238E27FC236}">
              <a16:creationId xmlns:a16="http://schemas.microsoft.com/office/drawing/2014/main" id="{00000000-0008-0000-0000-00004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76" name="Immagine 1775" descr="http://demaco.consob/ArchiflowWeb/images/indicator.gif">
          <a:extLst>
            <a:ext uri="{FF2B5EF4-FFF2-40B4-BE49-F238E27FC236}">
              <a16:creationId xmlns:a16="http://schemas.microsoft.com/office/drawing/2014/main" id="{00000000-0008-0000-0000-00004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77" name="Immagine 1776" descr="http://demaco.consob/ArchiflowWeb/images/indicator.gif">
          <a:extLst>
            <a:ext uri="{FF2B5EF4-FFF2-40B4-BE49-F238E27FC236}">
              <a16:creationId xmlns:a16="http://schemas.microsoft.com/office/drawing/2014/main" id="{00000000-0008-0000-0000-00004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78" name="Immagine 1777" descr="http://demaco.consob/ArchiflowWeb/images/indicator.gif">
          <a:extLst>
            <a:ext uri="{FF2B5EF4-FFF2-40B4-BE49-F238E27FC236}">
              <a16:creationId xmlns:a16="http://schemas.microsoft.com/office/drawing/2014/main" id="{00000000-0008-0000-0000-00004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79" name="Immagine 1778" descr="http://demaco.consob/ArchiflowWeb/images/indicator.gif">
          <a:extLst>
            <a:ext uri="{FF2B5EF4-FFF2-40B4-BE49-F238E27FC236}">
              <a16:creationId xmlns:a16="http://schemas.microsoft.com/office/drawing/2014/main" id="{00000000-0008-0000-0000-00004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80" name="Immagine 1779" descr="http://demaco.consob/ArchiflowWeb/images/indicator.gif">
          <a:extLst>
            <a:ext uri="{FF2B5EF4-FFF2-40B4-BE49-F238E27FC236}">
              <a16:creationId xmlns:a16="http://schemas.microsoft.com/office/drawing/2014/main" id="{00000000-0008-0000-0000-00004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81" name="Immagine 1780" descr="http://demaco.consob/ArchiflowWeb/images/indicator.gif">
          <a:extLst>
            <a:ext uri="{FF2B5EF4-FFF2-40B4-BE49-F238E27FC236}">
              <a16:creationId xmlns:a16="http://schemas.microsoft.com/office/drawing/2014/main" id="{00000000-0008-0000-0000-00004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82" name="Immagine 1781" descr="http://demaco.consob/ArchiflowWeb/images/indicator.gif">
          <a:extLst>
            <a:ext uri="{FF2B5EF4-FFF2-40B4-BE49-F238E27FC236}">
              <a16:creationId xmlns:a16="http://schemas.microsoft.com/office/drawing/2014/main" id="{00000000-0008-0000-0000-00004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83" name="Immagine 1782" descr="http://demaco.consob/ArchiflowWeb/images/indicator.gif">
          <a:extLst>
            <a:ext uri="{FF2B5EF4-FFF2-40B4-BE49-F238E27FC236}">
              <a16:creationId xmlns:a16="http://schemas.microsoft.com/office/drawing/2014/main" id="{00000000-0008-0000-0000-00004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84" name="Immagine 1783" descr="http://demaco.consob/ArchiflowWeb/images/indicator.gif">
          <a:extLst>
            <a:ext uri="{FF2B5EF4-FFF2-40B4-BE49-F238E27FC236}">
              <a16:creationId xmlns:a16="http://schemas.microsoft.com/office/drawing/2014/main" id="{00000000-0008-0000-0000-00004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85" name="Immagine 1784" descr="http://demaco.consob/ArchiflowWeb/images/indicator.gif">
          <a:extLst>
            <a:ext uri="{FF2B5EF4-FFF2-40B4-BE49-F238E27FC236}">
              <a16:creationId xmlns:a16="http://schemas.microsoft.com/office/drawing/2014/main" id="{00000000-0008-0000-0000-00005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86" name="Immagine 1785" descr="http://demaco.consob/ArchiflowWeb/images/indicator.gif">
          <a:extLst>
            <a:ext uri="{FF2B5EF4-FFF2-40B4-BE49-F238E27FC236}">
              <a16:creationId xmlns:a16="http://schemas.microsoft.com/office/drawing/2014/main" id="{00000000-0008-0000-0000-00005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87" name="Immagine 1786" descr="http://demaco.consob/ArchiflowWeb/images/indicator.gif">
          <a:extLst>
            <a:ext uri="{FF2B5EF4-FFF2-40B4-BE49-F238E27FC236}">
              <a16:creationId xmlns:a16="http://schemas.microsoft.com/office/drawing/2014/main" id="{00000000-0008-0000-0000-00005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88" name="Immagine 1787" descr="http://demaco.consob/ArchiflowWeb/images/indicator.gif">
          <a:extLst>
            <a:ext uri="{FF2B5EF4-FFF2-40B4-BE49-F238E27FC236}">
              <a16:creationId xmlns:a16="http://schemas.microsoft.com/office/drawing/2014/main" id="{00000000-0008-0000-0000-00005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89" name="Immagine 1788" descr="http://demaco.consob/ArchiflowWeb/images/indicator.gif">
          <a:extLst>
            <a:ext uri="{FF2B5EF4-FFF2-40B4-BE49-F238E27FC236}">
              <a16:creationId xmlns:a16="http://schemas.microsoft.com/office/drawing/2014/main" id="{00000000-0008-0000-0000-00005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90" name="Immagine 1789" descr="http://demaco.consob/ArchiflowWeb/images/indicator.gif">
          <a:extLst>
            <a:ext uri="{FF2B5EF4-FFF2-40B4-BE49-F238E27FC236}">
              <a16:creationId xmlns:a16="http://schemas.microsoft.com/office/drawing/2014/main" id="{00000000-0008-0000-0000-00005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91" name="Immagine 1790" descr="http://demaco.consob/ArchiflowWeb/images/indicator.gif">
          <a:extLst>
            <a:ext uri="{FF2B5EF4-FFF2-40B4-BE49-F238E27FC236}">
              <a16:creationId xmlns:a16="http://schemas.microsoft.com/office/drawing/2014/main" id="{00000000-0008-0000-0000-00005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92" name="Immagine 1791" descr="http://demaco.consob/ArchiflowWeb/images/indicator.gif">
          <a:extLst>
            <a:ext uri="{FF2B5EF4-FFF2-40B4-BE49-F238E27FC236}">
              <a16:creationId xmlns:a16="http://schemas.microsoft.com/office/drawing/2014/main" id="{00000000-0008-0000-0000-00005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93" name="Immagine 1792" descr="http://demaco.consob/ArchiflowWeb/images/indicator.gif">
          <a:extLst>
            <a:ext uri="{FF2B5EF4-FFF2-40B4-BE49-F238E27FC236}">
              <a16:creationId xmlns:a16="http://schemas.microsoft.com/office/drawing/2014/main" id="{00000000-0008-0000-0000-00005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94" name="Immagine 1793" descr="http://demaco.consob/ArchiflowWeb/images/indicator.gif">
          <a:extLst>
            <a:ext uri="{FF2B5EF4-FFF2-40B4-BE49-F238E27FC236}">
              <a16:creationId xmlns:a16="http://schemas.microsoft.com/office/drawing/2014/main" id="{00000000-0008-0000-0000-00005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95" name="Immagine 1794" descr="http://demaco.consob/ArchiflowWeb/images/indicator.gif">
          <a:extLst>
            <a:ext uri="{FF2B5EF4-FFF2-40B4-BE49-F238E27FC236}">
              <a16:creationId xmlns:a16="http://schemas.microsoft.com/office/drawing/2014/main" id="{00000000-0008-0000-0000-00005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96" name="Immagine 1795" descr="http://demaco.consob/ArchiflowWeb/images/indicator.gif">
          <a:extLst>
            <a:ext uri="{FF2B5EF4-FFF2-40B4-BE49-F238E27FC236}">
              <a16:creationId xmlns:a16="http://schemas.microsoft.com/office/drawing/2014/main" id="{00000000-0008-0000-0000-00005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97" name="Immagine 1796" descr="http://demaco.consob/ArchiflowWeb/images/indicator.gif">
          <a:extLst>
            <a:ext uri="{FF2B5EF4-FFF2-40B4-BE49-F238E27FC236}">
              <a16:creationId xmlns:a16="http://schemas.microsoft.com/office/drawing/2014/main" id="{00000000-0008-0000-0000-00005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798" name="Immagine 1797" descr="http://demaco.consob/ArchiflowWeb/images/indicator.gif">
          <a:extLst>
            <a:ext uri="{FF2B5EF4-FFF2-40B4-BE49-F238E27FC236}">
              <a16:creationId xmlns:a16="http://schemas.microsoft.com/office/drawing/2014/main" id="{00000000-0008-0000-0000-00005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799" name="Immagine 1798" descr="http://demaco.consob/ArchiflowWeb/images/indicator.gif">
          <a:extLst>
            <a:ext uri="{FF2B5EF4-FFF2-40B4-BE49-F238E27FC236}">
              <a16:creationId xmlns:a16="http://schemas.microsoft.com/office/drawing/2014/main" id="{00000000-0008-0000-0000-00005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00" name="Immagine 1799" descr="http://demaco.consob/ArchiflowWeb/images/indicator.gif">
          <a:extLst>
            <a:ext uri="{FF2B5EF4-FFF2-40B4-BE49-F238E27FC236}">
              <a16:creationId xmlns:a16="http://schemas.microsoft.com/office/drawing/2014/main" id="{00000000-0008-0000-0000-00005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01" name="Immagine 1800" descr="http://demaco.consob/ArchiflowWeb/images/indicator.gif">
          <a:extLst>
            <a:ext uri="{FF2B5EF4-FFF2-40B4-BE49-F238E27FC236}">
              <a16:creationId xmlns:a16="http://schemas.microsoft.com/office/drawing/2014/main" id="{00000000-0008-0000-0000-00006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02" name="Immagine 1801" descr="http://demaco.consob/ArchiflowWeb/images/indicator.gif">
          <a:extLst>
            <a:ext uri="{FF2B5EF4-FFF2-40B4-BE49-F238E27FC236}">
              <a16:creationId xmlns:a16="http://schemas.microsoft.com/office/drawing/2014/main" id="{00000000-0008-0000-0000-00006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03" name="Immagine 1802" descr="http://demaco.consob/ArchiflowWeb/images/indicator.gif">
          <a:extLst>
            <a:ext uri="{FF2B5EF4-FFF2-40B4-BE49-F238E27FC236}">
              <a16:creationId xmlns:a16="http://schemas.microsoft.com/office/drawing/2014/main" id="{00000000-0008-0000-0000-00006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04" name="Immagine 1803" descr="http://demaco.consob/ArchiflowWeb/images/indicator.gif">
          <a:extLst>
            <a:ext uri="{FF2B5EF4-FFF2-40B4-BE49-F238E27FC236}">
              <a16:creationId xmlns:a16="http://schemas.microsoft.com/office/drawing/2014/main" id="{00000000-0008-0000-0000-00006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05" name="Immagine 1804" descr="http://demaco.consob/ArchiflowWeb/images/indicator.gif">
          <a:extLst>
            <a:ext uri="{FF2B5EF4-FFF2-40B4-BE49-F238E27FC236}">
              <a16:creationId xmlns:a16="http://schemas.microsoft.com/office/drawing/2014/main" id="{00000000-0008-0000-0000-00006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06" name="Immagine 1805" descr="http://demaco.consob/ArchiflowWeb/images/indicator.gif">
          <a:extLst>
            <a:ext uri="{FF2B5EF4-FFF2-40B4-BE49-F238E27FC236}">
              <a16:creationId xmlns:a16="http://schemas.microsoft.com/office/drawing/2014/main" id="{00000000-0008-0000-0000-00006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07" name="Immagine 1806" descr="http://demaco.consob/ArchiflowWeb/images/indicator.gif">
          <a:extLst>
            <a:ext uri="{FF2B5EF4-FFF2-40B4-BE49-F238E27FC236}">
              <a16:creationId xmlns:a16="http://schemas.microsoft.com/office/drawing/2014/main" id="{00000000-0008-0000-0000-00006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08" name="Immagine 1807" descr="http://demaco.consob/ArchiflowWeb/images/indicator.gif">
          <a:extLst>
            <a:ext uri="{FF2B5EF4-FFF2-40B4-BE49-F238E27FC236}">
              <a16:creationId xmlns:a16="http://schemas.microsoft.com/office/drawing/2014/main" id="{00000000-0008-0000-0000-00006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09" name="Immagine 1808" descr="http://demaco.consob/ArchiflowWeb/images/indicator.gif">
          <a:extLst>
            <a:ext uri="{FF2B5EF4-FFF2-40B4-BE49-F238E27FC236}">
              <a16:creationId xmlns:a16="http://schemas.microsoft.com/office/drawing/2014/main" id="{00000000-0008-0000-0000-00006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10" name="Immagine 1809" descr="http://demaco.consob/ArchiflowWeb/images/indicator.gif">
          <a:extLst>
            <a:ext uri="{FF2B5EF4-FFF2-40B4-BE49-F238E27FC236}">
              <a16:creationId xmlns:a16="http://schemas.microsoft.com/office/drawing/2014/main" id="{00000000-0008-0000-0000-00006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11" name="Immagine 1810" descr="http://demaco.consob/ArchiflowWeb/images/indicator.gif">
          <a:extLst>
            <a:ext uri="{FF2B5EF4-FFF2-40B4-BE49-F238E27FC236}">
              <a16:creationId xmlns:a16="http://schemas.microsoft.com/office/drawing/2014/main" id="{00000000-0008-0000-0000-00006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12" name="Immagine 1811" descr="http://demaco.consob/ArchiflowWeb/images/indicator.gif">
          <a:extLst>
            <a:ext uri="{FF2B5EF4-FFF2-40B4-BE49-F238E27FC236}">
              <a16:creationId xmlns:a16="http://schemas.microsoft.com/office/drawing/2014/main" id="{00000000-0008-0000-0000-00006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13" name="Immagine 1812" descr="http://demaco.consob/ArchiflowWeb/images/indicator.gif">
          <a:extLst>
            <a:ext uri="{FF2B5EF4-FFF2-40B4-BE49-F238E27FC236}">
              <a16:creationId xmlns:a16="http://schemas.microsoft.com/office/drawing/2014/main" id="{00000000-0008-0000-0000-00006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14" name="Immagine 1813" descr="http://demaco.consob/ArchiflowWeb/images/indicator.gif">
          <a:extLst>
            <a:ext uri="{FF2B5EF4-FFF2-40B4-BE49-F238E27FC236}">
              <a16:creationId xmlns:a16="http://schemas.microsoft.com/office/drawing/2014/main" id="{00000000-0008-0000-0000-00006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15" name="Immagine 1814" descr="http://demaco.consob/ArchiflowWeb/images/indicator.gif">
          <a:extLst>
            <a:ext uri="{FF2B5EF4-FFF2-40B4-BE49-F238E27FC236}">
              <a16:creationId xmlns:a16="http://schemas.microsoft.com/office/drawing/2014/main" id="{00000000-0008-0000-0000-00006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16" name="Immagine 1815" descr="http://demaco.consob/ArchiflowWeb/images/indicator.gif">
          <a:extLst>
            <a:ext uri="{FF2B5EF4-FFF2-40B4-BE49-F238E27FC236}">
              <a16:creationId xmlns:a16="http://schemas.microsoft.com/office/drawing/2014/main" id="{00000000-0008-0000-0000-00006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17" name="Immagine 1816" descr="http://demaco.consob/ArchiflowWeb/images/indicator.gif">
          <a:extLst>
            <a:ext uri="{FF2B5EF4-FFF2-40B4-BE49-F238E27FC236}">
              <a16:creationId xmlns:a16="http://schemas.microsoft.com/office/drawing/2014/main" id="{00000000-0008-0000-0000-00007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18" name="Immagine 1817" descr="http://demaco.consob/ArchiflowWeb/images/indicator.gif">
          <a:extLst>
            <a:ext uri="{FF2B5EF4-FFF2-40B4-BE49-F238E27FC236}">
              <a16:creationId xmlns:a16="http://schemas.microsoft.com/office/drawing/2014/main" id="{00000000-0008-0000-0000-00007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19" name="Immagine 1818" descr="http://demaco.consob/ArchiflowWeb/images/indicator.gif">
          <a:extLst>
            <a:ext uri="{FF2B5EF4-FFF2-40B4-BE49-F238E27FC236}">
              <a16:creationId xmlns:a16="http://schemas.microsoft.com/office/drawing/2014/main" id="{00000000-0008-0000-0000-00007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20" name="Immagine 1819" descr="http://demaco.consob/ArchiflowWeb/images/indicator.gif">
          <a:extLst>
            <a:ext uri="{FF2B5EF4-FFF2-40B4-BE49-F238E27FC236}">
              <a16:creationId xmlns:a16="http://schemas.microsoft.com/office/drawing/2014/main" id="{00000000-0008-0000-0000-00007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21" name="Immagine 1820" descr="http://demaco.consob/ArchiflowWeb/images/indicator.gif">
          <a:extLst>
            <a:ext uri="{FF2B5EF4-FFF2-40B4-BE49-F238E27FC236}">
              <a16:creationId xmlns:a16="http://schemas.microsoft.com/office/drawing/2014/main" id="{00000000-0008-0000-0000-00007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22" name="Immagine 1821" descr="http://demaco.consob/ArchiflowWeb/images/indicator.gif">
          <a:extLst>
            <a:ext uri="{FF2B5EF4-FFF2-40B4-BE49-F238E27FC236}">
              <a16:creationId xmlns:a16="http://schemas.microsoft.com/office/drawing/2014/main" id="{00000000-0008-0000-0000-00007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23" name="Immagine 1822" descr="http://demaco.consob/ArchiflowWeb/images/indicator.gif">
          <a:extLst>
            <a:ext uri="{FF2B5EF4-FFF2-40B4-BE49-F238E27FC236}">
              <a16:creationId xmlns:a16="http://schemas.microsoft.com/office/drawing/2014/main" id="{00000000-0008-0000-0000-00007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24" name="Immagine 1823" descr="http://demaco.consob/ArchiflowWeb/images/indicator.gif">
          <a:extLst>
            <a:ext uri="{FF2B5EF4-FFF2-40B4-BE49-F238E27FC236}">
              <a16:creationId xmlns:a16="http://schemas.microsoft.com/office/drawing/2014/main" id="{00000000-0008-0000-0000-00007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25" name="Immagine 1824" descr="http://demaco.consob/ArchiflowWeb/images/indicator.gif">
          <a:extLst>
            <a:ext uri="{FF2B5EF4-FFF2-40B4-BE49-F238E27FC236}">
              <a16:creationId xmlns:a16="http://schemas.microsoft.com/office/drawing/2014/main" id="{00000000-0008-0000-0000-00007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26" name="Immagine 1825" descr="http://demaco.consob/ArchiflowWeb/images/indicator.gif">
          <a:extLst>
            <a:ext uri="{FF2B5EF4-FFF2-40B4-BE49-F238E27FC236}">
              <a16:creationId xmlns:a16="http://schemas.microsoft.com/office/drawing/2014/main" id="{00000000-0008-0000-0000-00007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27" name="Immagine 1826" descr="http://demaco.consob/ArchiflowWeb/images/indicator.gif">
          <a:extLst>
            <a:ext uri="{FF2B5EF4-FFF2-40B4-BE49-F238E27FC236}">
              <a16:creationId xmlns:a16="http://schemas.microsoft.com/office/drawing/2014/main" id="{00000000-0008-0000-0000-00007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28" name="Immagine 1827" descr="http://demaco.consob/ArchiflowWeb/images/indicator.gif">
          <a:extLst>
            <a:ext uri="{FF2B5EF4-FFF2-40B4-BE49-F238E27FC236}">
              <a16:creationId xmlns:a16="http://schemas.microsoft.com/office/drawing/2014/main" id="{00000000-0008-0000-0000-00007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29" name="Immagine 1828" descr="http://demaco.consob/ArchiflowWeb/images/indicator.gif">
          <a:extLst>
            <a:ext uri="{FF2B5EF4-FFF2-40B4-BE49-F238E27FC236}">
              <a16:creationId xmlns:a16="http://schemas.microsoft.com/office/drawing/2014/main" id="{00000000-0008-0000-0000-00007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30" name="Immagine 1829" descr="http://demaco.consob/ArchiflowWeb/images/indicator.gif">
          <a:extLst>
            <a:ext uri="{FF2B5EF4-FFF2-40B4-BE49-F238E27FC236}">
              <a16:creationId xmlns:a16="http://schemas.microsoft.com/office/drawing/2014/main" id="{00000000-0008-0000-0000-00007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31" name="Immagine 1830" descr="http://demaco.consob/ArchiflowWeb/images/indicator.gif">
          <a:extLst>
            <a:ext uri="{FF2B5EF4-FFF2-40B4-BE49-F238E27FC236}">
              <a16:creationId xmlns:a16="http://schemas.microsoft.com/office/drawing/2014/main" id="{00000000-0008-0000-0000-00007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32" name="Immagine 1831" descr="http://demaco.consob/ArchiflowWeb/images/indicator.gif">
          <a:extLst>
            <a:ext uri="{FF2B5EF4-FFF2-40B4-BE49-F238E27FC236}">
              <a16:creationId xmlns:a16="http://schemas.microsoft.com/office/drawing/2014/main" id="{00000000-0008-0000-0000-00007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33" name="Immagine 1832" descr="http://demaco.consob/ArchiflowWeb/images/indicator.gif">
          <a:extLst>
            <a:ext uri="{FF2B5EF4-FFF2-40B4-BE49-F238E27FC236}">
              <a16:creationId xmlns:a16="http://schemas.microsoft.com/office/drawing/2014/main" id="{00000000-0008-0000-0000-00008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34" name="Immagine 1833" descr="http://demaco.consob/ArchiflowWeb/images/indicator.gif">
          <a:extLst>
            <a:ext uri="{FF2B5EF4-FFF2-40B4-BE49-F238E27FC236}">
              <a16:creationId xmlns:a16="http://schemas.microsoft.com/office/drawing/2014/main" id="{00000000-0008-0000-0000-00008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35" name="Immagine 1834" descr="http://demaco.consob/ArchiflowWeb/images/indicator.gif">
          <a:extLst>
            <a:ext uri="{FF2B5EF4-FFF2-40B4-BE49-F238E27FC236}">
              <a16:creationId xmlns:a16="http://schemas.microsoft.com/office/drawing/2014/main" id="{00000000-0008-0000-0000-00008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36" name="Immagine 1835" descr="http://demaco.consob/ArchiflowWeb/images/indicator.gif">
          <a:extLst>
            <a:ext uri="{FF2B5EF4-FFF2-40B4-BE49-F238E27FC236}">
              <a16:creationId xmlns:a16="http://schemas.microsoft.com/office/drawing/2014/main" id="{00000000-0008-0000-0000-00008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37" name="Immagine 1836" descr="http://demaco.consob/ArchiflowWeb/images/indicator.gif">
          <a:extLst>
            <a:ext uri="{FF2B5EF4-FFF2-40B4-BE49-F238E27FC236}">
              <a16:creationId xmlns:a16="http://schemas.microsoft.com/office/drawing/2014/main" id="{00000000-0008-0000-0000-00008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38" name="Immagine 1837" descr="http://demaco.consob/ArchiflowWeb/images/indicator.gif">
          <a:extLst>
            <a:ext uri="{FF2B5EF4-FFF2-40B4-BE49-F238E27FC236}">
              <a16:creationId xmlns:a16="http://schemas.microsoft.com/office/drawing/2014/main" id="{00000000-0008-0000-0000-00008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39" name="Immagine 1838" descr="http://demaco.consob/ArchiflowWeb/images/indicator.gif">
          <a:extLst>
            <a:ext uri="{FF2B5EF4-FFF2-40B4-BE49-F238E27FC236}">
              <a16:creationId xmlns:a16="http://schemas.microsoft.com/office/drawing/2014/main" id="{00000000-0008-0000-0000-00008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40" name="Immagine 1839" descr="http://demaco.consob/ArchiflowWeb/images/indicator.gif">
          <a:extLst>
            <a:ext uri="{FF2B5EF4-FFF2-40B4-BE49-F238E27FC236}">
              <a16:creationId xmlns:a16="http://schemas.microsoft.com/office/drawing/2014/main" id="{00000000-0008-0000-0000-00008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41" name="Immagine 1840" descr="http://demaco.consob/ArchiflowWeb/images/indicator.gif">
          <a:extLst>
            <a:ext uri="{FF2B5EF4-FFF2-40B4-BE49-F238E27FC236}">
              <a16:creationId xmlns:a16="http://schemas.microsoft.com/office/drawing/2014/main" id="{00000000-0008-0000-0000-00008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42" name="Immagine 1841" descr="http://demaco.consob/ArchiflowWeb/images/indicator.gif">
          <a:extLst>
            <a:ext uri="{FF2B5EF4-FFF2-40B4-BE49-F238E27FC236}">
              <a16:creationId xmlns:a16="http://schemas.microsoft.com/office/drawing/2014/main" id="{00000000-0008-0000-0000-00008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43" name="Immagine 1842" descr="http://demaco.consob/ArchiflowWeb/images/indicator.gif">
          <a:extLst>
            <a:ext uri="{FF2B5EF4-FFF2-40B4-BE49-F238E27FC236}">
              <a16:creationId xmlns:a16="http://schemas.microsoft.com/office/drawing/2014/main" id="{00000000-0008-0000-0000-00008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44" name="Immagine 1843" descr="http://demaco.consob/ArchiflowWeb/images/indicator.gif">
          <a:extLst>
            <a:ext uri="{FF2B5EF4-FFF2-40B4-BE49-F238E27FC236}">
              <a16:creationId xmlns:a16="http://schemas.microsoft.com/office/drawing/2014/main" id="{00000000-0008-0000-0000-00008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45" name="Immagine 1844" descr="http://demaco.consob/ArchiflowWeb/images/indicator.gif">
          <a:extLst>
            <a:ext uri="{FF2B5EF4-FFF2-40B4-BE49-F238E27FC236}">
              <a16:creationId xmlns:a16="http://schemas.microsoft.com/office/drawing/2014/main" id="{00000000-0008-0000-0000-00008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46" name="Immagine 1845" descr="http://demaco.consob/ArchiflowWeb/images/indicator.gif">
          <a:extLst>
            <a:ext uri="{FF2B5EF4-FFF2-40B4-BE49-F238E27FC236}">
              <a16:creationId xmlns:a16="http://schemas.microsoft.com/office/drawing/2014/main" id="{00000000-0008-0000-0000-00008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47" name="Immagine 1846" descr="http://demaco.consob/ArchiflowWeb/images/indicator.gif">
          <a:extLst>
            <a:ext uri="{FF2B5EF4-FFF2-40B4-BE49-F238E27FC236}">
              <a16:creationId xmlns:a16="http://schemas.microsoft.com/office/drawing/2014/main" id="{00000000-0008-0000-0000-00008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48" name="Immagine 1847" descr="http://demaco.consob/ArchiflowWeb/images/indicator.gif">
          <a:extLst>
            <a:ext uri="{FF2B5EF4-FFF2-40B4-BE49-F238E27FC236}">
              <a16:creationId xmlns:a16="http://schemas.microsoft.com/office/drawing/2014/main" id="{00000000-0008-0000-0000-00008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49" name="Immagine 1848" descr="http://demaco.consob/ArchiflowWeb/images/indicator.gif">
          <a:extLst>
            <a:ext uri="{FF2B5EF4-FFF2-40B4-BE49-F238E27FC236}">
              <a16:creationId xmlns:a16="http://schemas.microsoft.com/office/drawing/2014/main" id="{00000000-0008-0000-0000-00009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50" name="Immagine 1849" descr="http://demaco.consob/ArchiflowWeb/images/indicator.gif">
          <a:extLst>
            <a:ext uri="{FF2B5EF4-FFF2-40B4-BE49-F238E27FC236}">
              <a16:creationId xmlns:a16="http://schemas.microsoft.com/office/drawing/2014/main" id="{00000000-0008-0000-0000-00009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51" name="Immagine 1850" descr="http://demaco.consob/ArchiflowWeb/images/indicator.gif">
          <a:extLst>
            <a:ext uri="{FF2B5EF4-FFF2-40B4-BE49-F238E27FC236}">
              <a16:creationId xmlns:a16="http://schemas.microsoft.com/office/drawing/2014/main" id="{00000000-0008-0000-0000-00009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52" name="Immagine 1851" descr="http://demaco.consob/ArchiflowWeb/images/indicator.gif">
          <a:extLst>
            <a:ext uri="{FF2B5EF4-FFF2-40B4-BE49-F238E27FC236}">
              <a16:creationId xmlns:a16="http://schemas.microsoft.com/office/drawing/2014/main" id="{00000000-0008-0000-0000-00009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53" name="Immagine 1852" descr="http://demaco.consob/ArchiflowWeb/images/indicator.gif">
          <a:extLst>
            <a:ext uri="{FF2B5EF4-FFF2-40B4-BE49-F238E27FC236}">
              <a16:creationId xmlns:a16="http://schemas.microsoft.com/office/drawing/2014/main" id="{00000000-0008-0000-0000-00009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54" name="Immagine 1853" descr="http://demaco.consob/ArchiflowWeb/images/indicator.gif">
          <a:extLst>
            <a:ext uri="{FF2B5EF4-FFF2-40B4-BE49-F238E27FC236}">
              <a16:creationId xmlns:a16="http://schemas.microsoft.com/office/drawing/2014/main" id="{00000000-0008-0000-0000-00009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55" name="Immagine 1854" descr="http://demaco.consob/ArchiflowWeb/images/indicator.gif">
          <a:extLst>
            <a:ext uri="{FF2B5EF4-FFF2-40B4-BE49-F238E27FC236}">
              <a16:creationId xmlns:a16="http://schemas.microsoft.com/office/drawing/2014/main" id="{00000000-0008-0000-0000-00009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56" name="Immagine 1855" descr="http://demaco.consob/ArchiflowWeb/images/indicator.gif">
          <a:extLst>
            <a:ext uri="{FF2B5EF4-FFF2-40B4-BE49-F238E27FC236}">
              <a16:creationId xmlns:a16="http://schemas.microsoft.com/office/drawing/2014/main" id="{00000000-0008-0000-0000-00009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57" name="Immagine 1856" descr="http://demaco.consob/ArchiflowWeb/images/indicator.gif">
          <a:extLst>
            <a:ext uri="{FF2B5EF4-FFF2-40B4-BE49-F238E27FC236}">
              <a16:creationId xmlns:a16="http://schemas.microsoft.com/office/drawing/2014/main" id="{00000000-0008-0000-0000-000098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58" name="Immagine 1857" descr="http://demaco.consob/ArchiflowWeb/images/indicator.gif">
          <a:extLst>
            <a:ext uri="{FF2B5EF4-FFF2-40B4-BE49-F238E27FC236}">
              <a16:creationId xmlns:a16="http://schemas.microsoft.com/office/drawing/2014/main" id="{00000000-0008-0000-0000-000099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59" name="Immagine 1858" descr="http://demaco.consob/ArchiflowWeb/images/indicator.gif">
          <a:extLst>
            <a:ext uri="{FF2B5EF4-FFF2-40B4-BE49-F238E27FC236}">
              <a16:creationId xmlns:a16="http://schemas.microsoft.com/office/drawing/2014/main" id="{00000000-0008-0000-0000-00009A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60" name="Immagine 1859" descr="http://demaco.consob/ArchiflowWeb/images/indicator.gif">
          <a:extLst>
            <a:ext uri="{FF2B5EF4-FFF2-40B4-BE49-F238E27FC236}">
              <a16:creationId xmlns:a16="http://schemas.microsoft.com/office/drawing/2014/main" id="{00000000-0008-0000-0000-00009B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61" name="Immagine 1860" descr="http://demaco.consob/ArchiflowWeb/images/indicator.gif">
          <a:extLst>
            <a:ext uri="{FF2B5EF4-FFF2-40B4-BE49-F238E27FC236}">
              <a16:creationId xmlns:a16="http://schemas.microsoft.com/office/drawing/2014/main" id="{00000000-0008-0000-0000-00009C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62" name="Immagine 1861" descr="http://demaco.consob/ArchiflowWeb/images/indicator.gif">
          <a:extLst>
            <a:ext uri="{FF2B5EF4-FFF2-40B4-BE49-F238E27FC236}">
              <a16:creationId xmlns:a16="http://schemas.microsoft.com/office/drawing/2014/main" id="{00000000-0008-0000-0000-00009D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63" name="Immagine 1862" descr="http://demaco.consob/ArchiflowWeb/images/indicator.gif">
          <a:extLst>
            <a:ext uri="{FF2B5EF4-FFF2-40B4-BE49-F238E27FC236}">
              <a16:creationId xmlns:a16="http://schemas.microsoft.com/office/drawing/2014/main" id="{00000000-0008-0000-0000-00009E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64" name="Immagine 1863" descr="http://demaco.consob/ArchiflowWeb/images/indicator.gif">
          <a:extLst>
            <a:ext uri="{FF2B5EF4-FFF2-40B4-BE49-F238E27FC236}">
              <a16:creationId xmlns:a16="http://schemas.microsoft.com/office/drawing/2014/main" id="{00000000-0008-0000-0000-00009F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65" name="Immagine 1864" descr="http://demaco.consob/ArchiflowWeb/images/indicator.gif">
          <a:extLst>
            <a:ext uri="{FF2B5EF4-FFF2-40B4-BE49-F238E27FC236}">
              <a16:creationId xmlns:a16="http://schemas.microsoft.com/office/drawing/2014/main" id="{00000000-0008-0000-0000-0000A0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66" name="Immagine 1865" descr="http://demaco.consob/ArchiflowWeb/images/indicator.gif">
          <a:extLst>
            <a:ext uri="{FF2B5EF4-FFF2-40B4-BE49-F238E27FC236}">
              <a16:creationId xmlns:a16="http://schemas.microsoft.com/office/drawing/2014/main" id="{00000000-0008-0000-0000-0000A1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67" name="Immagine 1866" descr="http://demaco.consob/ArchiflowWeb/images/indicator.gif">
          <a:extLst>
            <a:ext uri="{FF2B5EF4-FFF2-40B4-BE49-F238E27FC236}">
              <a16:creationId xmlns:a16="http://schemas.microsoft.com/office/drawing/2014/main" id="{00000000-0008-0000-0000-0000A2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68" name="Immagine 1867" descr="http://demaco.consob/ArchiflowWeb/images/indicator.gif">
          <a:extLst>
            <a:ext uri="{FF2B5EF4-FFF2-40B4-BE49-F238E27FC236}">
              <a16:creationId xmlns:a16="http://schemas.microsoft.com/office/drawing/2014/main" id="{00000000-0008-0000-0000-0000A3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69" name="Immagine 1868" descr="http://demaco.consob/ArchiflowWeb/images/indicator.gif">
          <a:extLst>
            <a:ext uri="{FF2B5EF4-FFF2-40B4-BE49-F238E27FC236}">
              <a16:creationId xmlns:a16="http://schemas.microsoft.com/office/drawing/2014/main" id="{00000000-0008-0000-0000-0000A4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70" name="Immagine 1869" descr="http://demaco.consob/ArchiflowWeb/images/indicator.gif">
          <a:extLst>
            <a:ext uri="{FF2B5EF4-FFF2-40B4-BE49-F238E27FC236}">
              <a16:creationId xmlns:a16="http://schemas.microsoft.com/office/drawing/2014/main" id="{00000000-0008-0000-0000-0000A5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71" name="Immagine 1870" descr="http://demaco.consob/ArchiflowWeb/images/indicator.gif">
          <a:extLst>
            <a:ext uri="{FF2B5EF4-FFF2-40B4-BE49-F238E27FC236}">
              <a16:creationId xmlns:a16="http://schemas.microsoft.com/office/drawing/2014/main" id="{00000000-0008-0000-0000-0000A6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72" name="Immagine 1871" descr="http://demaco.consob/ArchiflowWeb/images/indicator.gif">
          <a:extLst>
            <a:ext uri="{FF2B5EF4-FFF2-40B4-BE49-F238E27FC236}">
              <a16:creationId xmlns:a16="http://schemas.microsoft.com/office/drawing/2014/main" id="{00000000-0008-0000-0000-0000A703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610</xdr:row>
      <xdr:rowOff>0</xdr:rowOff>
    </xdr:from>
    <xdr:to>
      <xdr:col>11</xdr:col>
      <xdr:colOff>152400</xdr:colOff>
      <xdr:row>610</xdr:row>
      <xdr:rowOff>152400</xdr:rowOff>
    </xdr:to>
    <xdr:pic>
      <xdr:nvPicPr>
        <xdr:cNvPr id="1873" name="Immagine 1872" descr="http://demaco.consob/ArchiflowWeb/images/indicator.gif">
          <a:extLst>
            <a:ext uri="{FF2B5EF4-FFF2-40B4-BE49-F238E27FC236}">
              <a16:creationId xmlns:a16="http://schemas.microsoft.com/office/drawing/2014/main" id="{00000000-0008-0000-0000-0000A8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610</xdr:row>
      <xdr:rowOff>0</xdr:rowOff>
    </xdr:from>
    <xdr:ext cx="152400" cy="152400"/>
    <xdr:pic>
      <xdr:nvPicPr>
        <xdr:cNvPr id="1874" name="Immagine 1873" descr="http://demaco.consob/ArchiflowWeb/images/indicator.gif">
          <a:extLst>
            <a:ext uri="{FF2B5EF4-FFF2-40B4-BE49-F238E27FC236}">
              <a16:creationId xmlns:a16="http://schemas.microsoft.com/office/drawing/2014/main" id="{00000000-0008-0000-0000-0000A9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75" name="Immagine 1874" descr="http://demaco.consob/ArchiflowWeb/images/indicator.gif">
          <a:extLst>
            <a:ext uri="{FF2B5EF4-FFF2-40B4-BE49-F238E27FC236}">
              <a16:creationId xmlns:a16="http://schemas.microsoft.com/office/drawing/2014/main" id="{00000000-0008-0000-0000-0000AA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76" name="Immagine 1875" descr="http://demaco.consob/ArchiflowWeb/images/indicator.gif">
          <a:extLst>
            <a:ext uri="{FF2B5EF4-FFF2-40B4-BE49-F238E27FC236}">
              <a16:creationId xmlns:a16="http://schemas.microsoft.com/office/drawing/2014/main" id="{00000000-0008-0000-0000-0000AB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610</xdr:row>
      <xdr:rowOff>0</xdr:rowOff>
    </xdr:from>
    <xdr:ext cx="152400" cy="152400"/>
    <xdr:pic>
      <xdr:nvPicPr>
        <xdr:cNvPr id="1877" name="Immagine 1876" descr="http://demaco.consob/ArchiflowWeb/images/indicator.gif">
          <a:extLst>
            <a:ext uri="{FF2B5EF4-FFF2-40B4-BE49-F238E27FC236}">
              <a16:creationId xmlns:a16="http://schemas.microsoft.com/office/drawing/2014/main" id="{00000000-0008-0000-0000-0000AC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78" name="Immagine 1877" descr="http://demaco.consob/ArchiflowWeb/images/indicator.gif">
          <a:extLst>
            <a:ext uri="{FF2B5EF4-FFF2-40B4-BE49-F238E27FC236}">
              <a16:creationId xmlns:a16="http://schemas.microsoft.com/office/drawing/2014/main" id="{00000000-0008-0000-0000-0000AD03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79" name="Immagine 1878" descr="http://demaco.consob/ArchiflowWeb/images/indicator.gif">
          <a:extLst>
            <a:ext uri="{FF2B5EF4-FFF2-40B4-BE49-F238E27FC236}">
              <a16:creationId xmlns:a16="http://schemas.microsoft.com/office/drawing/2014/main" id="{1A661E09-D982-4E9F-A7C7-EFE4CD8D24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0" name="Immagine 1879" descr="http://demaco.consob/ArchiflowWeb/images/indicator.gif">
          <a:extLst>
            <a:ext uri="{FF2B5EF4-FFF2-40B4-BE49-F238E27FC236}">
              <a16:creationId xmlns:a16="http://schemas.microsoft.com/office/drawing/2014/main" id="{3C124A38-D2D2-4744-B795-980D360D54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1" name="Immagine 1880" descr="http://demaco.consob/ArchiflowWeb/images/indicator.gif">
          <a:extLst>
            <a:ext uri="{FF2B5EF4-FFF2-40B4-BE49-F238E27FC236}">
              <a16:creationId xmlns:a16="http://schemas.microsoft.com/office/drawing/2014/main" id="{5184AF97-B3C3-4E42-B85B-5D46C6AFF9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2" name="Immagine 1881" descr="http://demaco.consob/ArchiflowWeb/images/indicator.gif">
          <a:extLst>
            <a:ext uri="{FF2B5EF4-FFF2-40B4-BE49-F238E27FC236}">
              <a16:creationId xmlns:a16="http://schemas.microsoft.com/office/drawing/2014/main" id="{69AE74E6-041E-4A0C-AB76-91395A0B52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3" name="Immagine 1882" descr="http://demaco.consob/ArchiflowWeb/images/indicator.gif">
          <a:extLst>
            <a:ext uri="{FF2B5EF4-FFF2-40B4-BE49-F238E27FC236}">
              <a16:creationId xmlns:a16="http://schemas.microsoft.com/office/drawing/2014/main" id="{0CCFC0EE-B768-43E5-97DB-5323E2A8C0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4" name="Immagine 1883" descr="http://demaco.consob/ArchiflowWeb/images/indicator.gif">
          <a:extLst>
            <a:ext uri="{FF2B5EF4-FFF2-40B4-BE49-F238E27FC236}">
              <a16:creationId xmlns:a16="http://schemas.microsoft.com/office/drawing/2014/main" id="{8604F5EF-C17A-4692-88B2-6BD00F90AA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5" name="Immagine 1884" descr="http://demaco.consob/ArchiflowWeb/images/indicator.gif">
          <a:extLst>
            <a:ext uri="{FF2B5EF4-FFF2-40B4-BE49-F238E27FC236}">
              <a16:creationId xmlns:a16="http://schemas.microsoft.com/office/drawing/2014/main" id="{5BDC3388-9C65-4309-A086-CB605A672C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6" name="Immagine 1885" descr="http://demaco.consob/ArchiflowWeb/images/indicator.gif">
          <a:extLst>
            <a:ext uri="{FF2B5EF4-FFF2-40B4-BE49-F238E27FC236}">
              <a16:creationId xmlns:a16="http://schemas.microsoft.com/office/drawing/2014/main" id="{0E2D3E68-8E5C-4EE0-AAB3-49DE547FA8D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7" name="Immagine 1886" descr="http://demaco.consob/ArchiflowWeb/images/indicator.gif">
          <a:extLst>
            <a:ext uri="{FF2B5EF4-FFF2-40B4-BE49-F238E27FC236}">
              <a16:creationId xmlns:a16="http://schemas.microsoft.com/office/drawing/2014/main" id="{05D73508-DBAD-43F7-9E6E-F9203B2DB4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8" name="Immagine 1887" descr="http://demaco.consob/ArchiflowWeb/images/indicator.gif">
          <a:extLst>
            <a:ext uri="{FF2B5EF4-FFF2-40B4-BE49-F238E27FC236}">
              <a16:creationId xmlns:a16="http://schemas.microsoft.com/office/drawing/2014/main" id="{CEE81CF7-6083-4166-9BC1-77DA961B23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89" name="Immagine 1888" descr="http://demaco.consob/ArchiflowWeb/images/indicator.gif">
          <a:extLst>
            <a:ext uri="{FF2B5EF4-FFF2-40B4-BE49-F238E27FC236}">
              <a16:creationId xmlns:a16="http://schemas.microsoft.com/office/drawing/2014/main" id="{C96AB7E3-A7B7-441F-95DC-D466CE9BAA5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0" name="Immagine 1889" descr="http://demaco.consob/ArchiflowWeb/images/indicator.gif">
          <a:extLst>
            <a:ext uri="{FF2B5EF4-FFF2-40B4-BE49-F238E27FC236}">
              <a16:creationId xmlns:a16="http://schemas.microsoft.com/office/drawing/2014/main" id="{97990783-C5A6-47F6-BA3E-11AAD1F0430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1" name="Immagine 1890" descr="http://demaco.consob/ArchiflowWeb/images/indicator.gif">
          <a:extLst>
            <a:ext uri="{FF2B5EF4-FFF2-40B4-BE49-F238E27FC236}">
              <a16:creationId xmlns:a16="http://schemas.microsoft.com/office/drawing/2014/main" id="{D3B90AE2-DF7C-453A-8798-C307765630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2" name="Immagine 1891" descr="http://demaco.consob/ArchiflowWeb/images/indicator.gif">
          <a:extLst>
            <a:ext uri="{FF2B5EF4-FFF2-40B4-BE49-F238E27FC236}">
              <a16:creationId xmlns:a16="http://schemas.microsoft.com/office/drawing/2014/main" id="{492D6533-EDD5-4A44-ABC8-E6D98ADA66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3" name="Immagine 1892" descr="http://demaco.consob/ArchiflowWeb/images/indicator.gif">
          <a:extLst>
            <a:ext uri="{FF2B5EF4-FFF2-40B4-BE49-F238E27FC236}">
              <a16:creationId xmlns:a16="http://schemas.microsoft.com/office/drawing/2014/main" id="{EE4577A7-DD19-45DD-B2B2-FB76C1EAE5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4" name="Immagine 1893" descr="http://demaco.consob/ArchiflowWeb/images/indicator.gif">
          <a:extLst>
            <a:ext uri="{FF2B5EF4-FFF2-40B4-BE49-F238E27FC236}">
              <a16:creationId xmlns:a16="http://schemas.microsoft.com/office/drawing/2014/main" id="{85C76926-7697-4EDA-9ECC-991F40A5325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5" name="Immagine 1894" descr="http://demaco.consob/ArchiflowWeb/images/indicator.gif">
          <a:extLst>
            <a:ext uri="{FF2B5EF4-FFF2-40B4-BE49-F238E27FC236}">
              <a16:creationId xmlns:a16="http://schemas.microsoft.com/office/drawing/2014/main" id="{E0C29379-4CB3-479D-9E5D-90DA3A2A87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6" name="Immagine 1895" descr="http://demaco.consob/ArchiflowWeb/images/indicator.gif">
          <a:extLst>
            <a:ext uri="{FF2B5EF4-FFF2-40B4-BE49-F238E27FC236}">
              <a16:creationId xmlns:a16="http://schemas.microsoft.com/office/drawing/2014/main" id="{BB259F34-4F33-4F11-84D6-29B67F42D9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7" name="Immagine 1896" descr="http://demaco.consob/ArchiflowWeb/images/indicator.gif">
          <a:extLst>
            <a:ext uri="{FF2B5EF4-FFF2-40B4-BE49-F238E27FC236}">
              <a16:creationId xmlns:a16="http://schemas.microsoft.com/office/drawing/2014/main" id="{748484D8-B1DE-4335-B7CC-7881E010E7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8" name="Immagine 1897" descr="http://demaco.consob/ArchiflowWeb/images/indicator.gif">
          <a:extLst>
            <a:ext uri="{FF2B5EF4-FFF2-40B4-BE49-F238E27FC236}">
              <a16:creationId xmlns:a16="http://schemas.microsoft.com/office/drawing/2014/main" id="{14DBE77E-C1D3-4409-8061-48888CB6AE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899" name="Immagine 1898" descr="http://demaco.consob/ArchiflowWeb/images/indicator.gif">
          <a:extLst>
            <a:ext uri="{FF2B5EF4-FFF2-40B4-BE49-F238E27FC236}">
              <a16:creationId xmlns:a16="http://schemas.microsoft.com/office/drawing/2014/main" id="{76A59DF7-62C0-4032-8D25-91AC79EA5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0" name="Immagine 1899" descr="http://demaco.consob/ArchiflowWeb/images/indicator.gif">
          <a:extLst>
            <a:ext uri="{FF2B5EF4-FFF2-40B4-BE49-F238E27FC236}">
              <a16:creationId xmlns:a16="http://schemas.microsoft.com/office/drawing/2014/main" id="{1891A8AB-D2F0-4038-BA0E-56DF8A1E27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1" name="Immagine 1900" descr="http://demaco.consob/ArchiflowWeb/images/indicator.gif">
          <a:extLst>
            <a:ext uri="{FF2B5EF4-FFF2-40B4-BE49-F238E27FC236}">
              <a16:creationId xmlns:a16="http://schemas.microsoft.com/office/drawing/2014/main" id="{D28DBF0A-4974-4137-9E3E-E45768C914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2" name="Immagine 1901" descr="http://demaco.consob/ArchiflowWeb/images/indicator.gif">
          <a:extLst>
            <a:ext uri="{FF2B5EF4-FFF2-40B4-BE49-F238E27FC236}">
              <a16:creationId xmlns:a16="http://schemas.microsoft.com/office/drawing/2014/main" id="{C402730B-0545-4AE4-997B-7F03AFF030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3" name="Immagine 1902" descr="http://demaco.consob/ArchiflowWeb/images/indicator.gif">
          <a:extLst>
            <a:ext uri="{FF2B5EF4-FFF2-40B4-BE49-F238E27FC236}">
              <a16:creationId xmlns:a16="http://schemas.microsoft.com/office/drawing/2014/main" id="{C80C9558-8A51-4F91-9A6E-FDF4D01572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4" name="Immagine 1903" descr="http://demaco.consob/ArchiflowWeb/images/indicator.gif">
          <a:extLst>
            <a:ext uri="{FF2B5EF4-FFF2-40B4-BE49-F238E27FC236}">
              <a16:creationId xmlns:a16="http://schemas.microsoft.com/office/drawing/2014/main" id="{97FDF960-E857-47AF-81BB-592B8C543B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5" name="Immagine 1904" descr="http://demaco.consob/ArchiflowWeb/images/indicator.gif">
          <a:extLst>
            <a:ext uri="{FF2B5EF4-FFF2-40B4-BE49-F238E27FC236}">
              <a16:creationId xmlns:a16="http://schemas.microsoft.com/office/drawing/2014/main" id="{6A473270-60E6-4698-851B-29550756CE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6" name="Immagine 1905" descr="http://demaco.consob/ArchiflowWeb/images/indicator.gif">
          <a:extLst>
            <a:ext uri="{FF2B5EF4-FFF2-40B4-BE49-F238E27FC236}">
              <a16:creationId xmlns:a16="http://schemas.microsoft.com/office/drawing/2014/main" id="{40211D2C-8949-4922-894A-444099742A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7" name="Immagine 1906" descr="http://demaco.consob/ArchiflowWeb/images/indicator.gif">
          <a:extLst>
            <a:ext uri="{FF2B5EF4-FFF2-40B4-BE49-F238E27FC236}">
              <a16:creationId xmlns:a16="http://schemas.microsoft.com/office/drawing/2014/main" id="{2F664C98-69F3-49B8-8D8F-015BBF8DB5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8" name="Immagine 1907" descr="http://demaco.consob/ArchiflowWeb/images/indicator.gif">
          <a:extLst>
            <a:ext uri="{FF2B5EF4-FFF2-40B4-BE49-F238E27FC236}">
              <a16:creationId xmlns:a16="http://schemas.microsoft.com/office/drawing/2014/main" id="{0DEE049C-D41C-49B6-81A2-B6048C1A3B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09" name="Immagine 1908" descr="http://demaco.consob/ArchiflowWeb/images/indicator.gif">
          <a:extLst>
            <a:ext uri="{FF2B5EF4-FFF2-40B4-BE49-F238E27FC236}">
              <a16:creationId xmlns:a16="http://schemas.microsoft.com/office/drawing/2014/main" id="{5A5BD750-28AA-4CF7-800D-DA7BC62C8E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0" name="Immagine 1909" descr="http://demaco.consob/ArchiflowWeb/images/indicator.gif">
          <a:extLst>
            <a:ext uri="{FF2B5EF4-FFF2-40B4-BE49-F238E27FC236}">
              <a16:creationId xmlns:a16="http://schemas.microsoft.com/office/drawing/2014/main" id="{C14D93DE-A82D-4CE3-BD1A-F005204130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1" name="Immagine 1910" descr="http://demaco.consob/ArchiflowWeb/images/indicator.gif">
          <a:extLst>
            <a:ext uri="{FF2B5EF4-FFF2-40B4-BE49-F238E27FC236}">
              <a16:creationId xmlns:a16="http://schemas.microsoft.com/office/drawing/2014/main" id="{08AF65DA-4383-4987-96F9-FF007191792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2" name="Immagine 1911" descr="http://demaco.consob/ArchiflowWeb/images/indicator.gif">
          <a:extLst>
            <a:ext uri="{FF2B5EF4-FFF2-40B4-BE49-F238E27FC236}">
              <a16:creationId xmlns:a16="http://schemas.microsoft.com/office/drawing/2014/main" id="{8CC0F177-801F-4845-AF27-9793FF6ACB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3" name="Immagine 1912" descr="http://demaco.consob/ArchiflowWeb/images/indicator.gif">
          <a:extLst>
            <a:ext uri="{FF2B5EF4-FFF2-40B4-BE49-F238E27FC236}">
              <a16:creationId xmlns:a16="http://schemas.microsoft.com/office/drawing/2014/main" id="{CDE86A0A-BDEB-434E-8B62-48801DC130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4" name="Immagine 1913" descr="http://demaco.consob/ArchiflowWeb/images/indicator.gif">
          <a:extLst>
            <a:ext uri="{FF2B5EF4-FFF2-40B4-BE49-F238E27FC236}">
              <a16:creationId xmlns:a16="http://schemas.microsoft.com/office/drawing/2014/main" id="{2ED1194D-2958-44FB-AA35-43D4F41E5EF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5" name="Immagine 1914" descr="http://demaco.consob/ArchiflowWeb/images/indicator.gif">
          <a:extLst>
            <a:ext uri="{FF2B5EF4-FFF2-40B4-BE49-F238E27FC236}">
              <a16:creationId xmlns:a16="http://schemas.microsoft.com/office/drawing/2014/main" id="{5C8B60AC-DAC6-4B02-ACAC-2246E73D37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6" name="Immagine 1915" descr="http://demaco.consob/ArchiflowWeb/images/indicator.gif">
          <a:extLst>
            <a:ext uri="{FF2B5EF4-FFF2-40B4-BE49-F238E27FC236}">
              <a16:creationId xmlns:a16="http://schemas.microsoft.com/office/drawing/2014/main" id="{5739F157-AC16-41D1-84A7-56CAB93D4D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7" name="Immagine 1916" descr="http://demaco.consob/ArchiflowWeb/images/indicator.gif">
          <a:extLst>
            <a:ext uri="{FF2B5EF4-FFF2-40B4-BE49-F238E27FC236}">
              <a16:creationId xmlns:a16="http://schemas.microsoft.com/office/drawing/2014/main" id="{49A0776F-7504-48C0-BA04-892C52325A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8" name="Immagine 1917" descr="http://demaco.consob/ArchiflowWeb/images/indicator.gif">
          <a:extLst>
            <a:ext uri="{FF2B5EF4-FFF2-40B4-BE49-F238E27FC236}">
              <a16:creationId xmlns:a16="http://schemas.microsoft.com/office/drawing/2014/main" id="{C5E6BAC2-308C-4A3E-85D6-52140A7CEA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19" name="Immagine 1918" descr="http://demaco.consob/ArchiflowWeb/images/indicator.gif">
          <a:extLst>
            <a:ext uri="{FF2B5EF4-FFF2-40B4-BE49-F238E27FC236}">
              <a16:creationId xmlns:a16="http://schemas.microsoft.com/office/drawing/2014/main" id="{B80D8E97-082C-481C-90BE-C0A6362872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0" name="Immagine 1919" descr="http://demaco.consob/ArchiflowWeb/images/indicator.gif">
          <a:extLst>
            <a:ext uri="{FF2B5EF4-FFF2-40B4-BE49-F238E27FC236}">
              <a16:creationId xmlns:a16="http://schemas.microsoft.com/office/drawing/2014/main" id="{61BD695D-8762-4002-97E2-D5BBDB5442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1" name="Immagine 1920" descr="http://demaco.consob/ArchiflowWeb/images/indicator.gif">
          <a:extLst>
            <a:ext uri="{FF2B5EF4-FFF2-40B4-BE49-F238E27FC236}">
              <a16:creationId xmlns:a16="http://schemas.microsoft.com/office/drawing/2014/main" id="{1EF54398-2A81-410D-B92B-D5823F284C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2" name="Immagine 1921" descr="http://demaco.consob/ArchiflowWeb/images/indicator.gif">
          <a:extLst>
            <a:ext uri="{FF2B5EF4-FFF2-40B4-BE49-F238E27FC236}">
              <a16:creationId xmlns:a16="http://schemas.microsoft.com/office/drawing/2014/main" id="{93980CD7-46CE-4D3E-8E6D-7515706E78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3" name="Immagine 1922" descr="http://demaco.consob/ArchiflowWeb/images/indicator.gif">
          <a:extLst>
            <a:ext uri="{FF2B5EF4-FFF2-40B4-BE49-F238E27FC236}">
              <a16:creationId xmlns:a16="http://schemas.microsoft.com/office/drawing/2014/main" id="{3195837B-3A43-4296-9FBD-F23DFB3CC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4" name="Immagine 1923" descr="http://demaco.consob/ArchiflowWeb/images/indicator.gif">
          <a:extLst>
            <a:ext uri="{FF2B5EF4-FFF2-40B4-BE49-F238E27FC236}">
              <a16:creationId xmlns:a16="http://schemas.microsoft.com/office/drawing/2014/main" id="{4B7670A2-40D0-4B87-A5EC-747CBC5B8F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5" name="Immagine 1924" descr="http://demaco.consob/ArchiflowWeb/images/indicator.gif">
          <a:extLst>
            <a:ext uri="{FF2B5EF4-FFF2-40B4-BE49-F238E27FC236}">
              <a16:creationId xmlns:a16="http://schemas.microsoft.com/office/drawing/2014/main" id="{549C3CC0-1FFA-49EF-A753-7897D31F3D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6" name="Immagine 1925" descr="http://demaco.consob/ArchiflowWeb/images/indicator.gif">
          <a:extLst>
            <a:ext uri="{FF2B5EF4-FFF2-40B4-BE49-F238E27FC236}">
              <a16:creationId xmlns:a16="http://schemas.microsoft.com/office/drawing/2014/main" id="{AC819DB6-CD64-41AF-B8B7-AE412FB4B3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7" name="Immagine 1926" descr="http://demaco.consob/ArchiflowWeb/images/indicator.gif">
          <a:extLst>
            <a:ext uri="{FF2B5EF4-FFF2-40B4-BE49-F238E27FC236}">
              <a16:creationId xmlns:a16="http://schemas.microsoft.com/office/drawing/2014/main" id="{D043D1D3-765A-4DBB-A625-92BCA5744A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8" name="Immagine 1927" descr="http://demaco.consob/ArchiflowWeb/images/indicator.gif">
          <a:extLst>
            <a:ext uri="{FF2B5EF4-FFF2-40B4-BE49-F238E27FC236}">
              <a16:creationId xmlns:a16="http://schemas.microsoft.com/office/drawing/2014/main" id="{07351E91-0C5B-4963-B7D7-30AF2EE06D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29" name="Immagine 1928" descr="http://demaco.consob/ArchiflowWeb/images/indicator.gif">
          <a:extLst>
            <a:ext uri="{FF2B5EF4-FFF2-40B4-BE49-F238E27FC236}">
              <a16:creationId xmlns:a16="http://schemas.microsoft.com/office/drawing/2014/main" id="{3D2F808F-0615-416C-8A55-80983956F1E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0" name="Immagine 1929" descr="http://demaco.consob/ArchiflowWeb/images/indicator.gif">
          <a:extLst>
            <a:ext uri="{FF2B5EF4-FFF2-40B4-BE49-F238E27FC236}">
              <a16:creationId xmlns:a16="http://schemas.microsoft.com/office/drawing/2014/main" id="{44489D99-F92D-435B-87BB-91D900667BA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1" name="Immagine 1930" descr="http://demaco.consob/ArchiflowWeb/images/indicator.gif">
          <a:extLst>
            <a:ext uri="{FF2B5EF4-FFF2-40B4-BE49-F238E27FC236}">
              <a16:creationId xmlns:a16="http://schemas.microsoft.com/office/drawing/2014/main" id="{577D4923-2508-4DFB-AD14-8993545B8A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2" name="Immagine 1931" descr="http://demaco.consob/ArchiflowWeb/images/indicator.gif">
          <a:extLst>
            <a:ext uri="{FF2B5EF4-FFF2-40B4-BE49-F238E27FC236}">
              <a16:creationId xmlns:a16="http://schemas.microsoft.com/office/drawing/2014/main" id="{9224DC30-4C69-40A0-BEB1-F2C61B823D4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3" name="Immagine 1932" descr="http://demaco.consob/ArchiflowWeb/images/indicator.gif">
          <a:extLst>
            <a:ext uri="{FF2B5EF4-FFF2-40B4-BE49-F238E27FC236}">
              <a16:creationId xmlns:a16="http://schemas.microsoft.com/office/drawing/2014/main" id="{F5782E5D-DEDB-4CAB-B9A6-58B8426EB6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4" name="Immagine 1933" descr="http://demaco.consob/ArchiflowWeb/images/indicator.gif">
          <a:extLst>
            <a:ext uri="{FF2B5EF4-FFF2-40B4-BE49-F238E27FC236}">
              <a16:creationId xmlns:a16="http://schemas.microsoft.com/office/drawing/2014/main" id="{9FCE396C-7106-4129-9DFA-7243221EB5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5" name="Immagine 1934" descr="http://demaco.consob/ArchiflowWeb/images/indicator.gif">
          <a:extLst>
            <a:ext uri="{FF2B5EF4-FFF2-40B4-BE49-F238E27FC236}">
              <a16:creationId xmlns:a16="http://schemas.microsoft.com/office/drawing/2014/main" id="{43C27AE2-C1B3-403B-BAB0-D97E55DA22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6" name="Immagine 1935" descr="http://demaco.consob/ArchiflowWeb/images/indicator.gif">
          <a:extLst>
            <a:ext uri="{FF2B5EF4-FFF2-40B4-BE49-F238E27FC236}">
              <a16:creationId xmlns:a16="http://schemas.microsoft.com/office/drawing/2014/main" id="{2E1268DA-9665-48DC-906B-751769D3BE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7" name="Immagine 1936" descr="http://demaco.consob/ArchiflowWeb/images/indicator.gif">
          <a:extLst>
            <a:ext uri="{FF2B5EF4-FFF2-40B4-BE49-F238E27FC236}">
              <a16:creationId xmlns:a16="http://schemas.microsoft.com/office/drawing/2014/main" id="{825F65B0-522A-4FA2-8307-63B7CAF2A92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8" name="Immagine 1937" descr="http://demaco.consob/ArchiflowWeb/images/indicator.gif">
          <a:extLst>
            <a:ext uri="{FF2B5EF4-FFF2-40B4-BE49-F238E27FC236}">
              <a16:creationId xmlns:a16="http://schemas.microsoft.com/office/drawing/2014/main" id="{943E6752-B3D4-4E7A-B841-55D3D32824D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39" name="Immagine 1938" descr="http://demaco.consob/ArchiflowWeb/images/indicator.gif">
          <a:extLst>
            <a:ext uri="{FF2B5EF4-FFF2-40B4-BE49-F238E27FC236}">
              <a16:creationId xmlns:a16="http://schemas.microsoft.com/office/drawing/2014/main" id="{0F97D366-5C26-4553-A060-42F2D7FB54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0" name="Immagine 1939" descr="http://demaco.consob/ArchiflowWeb/images/indicator.gif">
          <a:extLst>
            <a:ext uri="{FF2B5EF4-FFF2-40B4-BE49-F238E27FC236}">
              <a16:creationId xmlns:a16="http://schemas.microsoft.com/office/drawing/2014/main" id="{47BE83CD-1675-4E0D-BDB9-7BC733A16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1" name="Immagine 1940" descr="http://demaco.consob/ArchiflowWeb/images/indicator.gif">
          <a:extLst>
            <a:ext uri="{FF2B5EF4-FFF2-40B4-BE49-F238E27FC236}">
              <a16:creationId xmlns:a16="http://schemas.microsoft.com/office/drawing/2014/main" id="{DF0E28AD-9081-4E92-B666-6F6A30627E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2" name="Immagine 1941" descr="http://demaco.consob/ArchiflowWeb/images/indicator.gif">
          <a:extLst>
            <a:ext uri="{FF2B5EF4-FFF2-40B4-BE49-F238E27FC236}">
              <a16:creationId xmlns:a16="http://schemas.microsoft.com/office/drawing/2014/main" id="{DB02F0EA-5237-4C2C-8CA7-51A2C7ACD4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3" name="Immagine 1942" descr="http://demaco.consob/ArchiflowWeb/images/indicator.gif">
          <a:extLst>
            <a:ext uri="{FF2B5EF4-FFF2-40B4-BE49-F238E27FC236}">
              <a16:creationId xmlns:a16="http://schemas.microsoft.com/office/drawing/2014/main" id="{A9B307E2-DF51-45D8-A840-F66754797D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4" name="Immagine 1943" descr="http://demaco.consob/ArchiflowWeb/images/indicator.gif">
          <a:extLst>
            <a:ext uri="{FF2B5EF4-FFF2-40B4-BE49-F238E27FC236}">
              <a16:creationId xmlns:a16="http://schemas.microsoft.com/office/drawing/2014/main" id="{41238027-B5F8-4A54-AD21-CA7794929A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5" name="Immagine 1944" descr="http://demaco.consob/ArchiflowWeb/images/indicator.gif">
          <a:extLst>
            <a:ext uri="{FF2B5EF4-FFF2-40B4-BE49-F238E27FC236}">
              <a16:creationId xmlns:a16="http://schemas.microsoft.com/office/drawing/2014/main" id="{E5CBEE3B-13F5-4473-BAEB-589394D687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6" name="Immagine 1945" descr="http://demaco.consob/ArchiflowWeb/images/indicator.gif">
          <a:extLst>
            <a:ext uri="{FF2B5EF4-FFF2-40B4-BE49-F238E27FC236}">
              <a16:creationId xmlns:a16="http://schemas.microsoft.com/office/drawing/2014/main" id="{413EA0B5-2257-48CC-8803-EEBCE59AF5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7" name="Immagine 1946" descr="http://demaco.consob/ArchiflowWeb/images/indicator.gif">
          <a:extLst>
            <a:ext uri="{FF2B5EF4-FFF2-40B4-BE49-F238E27FC236}">
              <a16:creationId xmlns:a16="http://schemas.microsoft.com/office/drawing/2014/main" id="{2654A72B-C98E-40DD-9E9B-DC84BC94CB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8" name="Immagine 1947" descr="http://demaco.consob/ArchiflowWeb/images/indicator.gif">
          <a:extLst>
            <a:ext uri="{FF2B5EF4-FFF2-40B4-BE49-F238E27FC236}">
              <a16:creationId xmlns:a16="http://schemas.microsoft.com/office/drawing/2014/main" id="{00861E96-A0BF-4262-B22B-09758091770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49" name="Immagine 1948" descr="http://demaco.consob/ArchiflowWeb/images/indicator.gif">
          <a:extLst>
            <a:ext uri="{FF2B5EF4-FFF2-40B4-BE49-F238E27FC236}">
              <a16:creationId xmlns:a16="http://schemas.microsoft.com/office/drawing/2014/main" id="{5EAB7506-908A-430D-95A2-DDF110D9E6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0" name="Immagine 1949" descr="http://demaco.consob/ArchiflowWeb/images/indicator.gif">
          <a:extLst>
            <a:ext uri="{FF2B5EF4-FFF2-40B4-BE49-F238E27FC236}">
              <a16:creationId xmlns:a16="http://schemas.microsoft.com/office/drawing/2014/main" id="{180176B2-11FD-4008-AF54-AB03068C25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1" name="Immagine 1950" descr="http://demaco.consob/ArchiflowWeb/images/indicator.gif">
          <a:extLst>
            <a:ext uri="{FF2B5EF4-FFF2-40B4-BE49-F238E27FC236}">
              <a16:creationId xmlns:a16="http://schemas.microsoft.com/office/drawing/2014/main" id="{3F488FFC-E3D4-4A29-A8BF-31FBA57EF3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2" name="Immagine 1951" descr="http://demaco.consob/ArchiflowWeb/images/indicator.gif">
          <a:extLst>
            <a:ext uri="{FF2B5EF4-FFF2-40B4-BE49-F238E27FC236}">
              <a16:creationId xmlns:a16="http://schemas.microsoft.com/office/drawing/2014/main" id="{E60DAA68-A6E8-4ABD-A8F8-0571AB2860A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3" name="Immagine 1952" descr="http://demaco.consob/ArchiflowWeb/images/indicator.gif">
          <a:extLst>
            <a:ext uri="{FF2B5EF4-FFF2-40B4-BE49-F238E27FC236}">
              <a16:creationId xmlns:a16="http://schemas.microsoft.com/office/drawing/2014/main" id="{989C77C0-1455-4B70-9E8C-919979E73F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4" name="Immagine 1953" descr="http://demaco.consob/ArchiflowWeb/images/indicator.gif">
          <a:extLst>
            <a:ext uri="{FF2B5EF4-FFF2-40B4-BE49-F238E27FC236}">
              <a16:creationId xmlns:a16="http://schemas.microsoft.com/office/drawing/2014/main" id="{C9BFA0AE-1524-421D-B434-200B2B9DC6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5" name="Immagine 1954" descr="http://demaco.consob/ArchiflowWeb/images/indicator.gif">
          <a:extLst>
            <a:ext uri="{FF2B5EF4-FFF2-40B4-BE49-F238E27FC236}">
              <a16:creationId xmlns:a16="http://schemas.microsoft.com/office/drawing/2014/main" id="{B8EAFD87-7258-40BD-A821-A39931DE0FF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6" name="Immagine 1955" descr="http://demaco.consob/ArchiflowWeb/images/indicator.gif">
          <a:extLst>
            <a:ext uri="{FF2B5EF4-FFF2-40B4-BE49-F238E27FC236}">
              <a16:creationId xmlns:a16="http://schemas.microsoft.com/office/drawing/2014/main" id="{A4007291-53E1-44E0-BFBD-637199277A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7" name="Immagine 1956" descr="http://demaco.consob/ArchiflowWeb/images/indicator.gif">
          <a:extLst>
            <a:ext uri="{FF2B5EF4-FFF2-40B4-BE49-F238E27FC236}">
              <a16:creationId xmlns:a16="http://schemas.microsoft.com/office/drawing/2014/main" id="{25776561-25B0-4EF5-8CA7-8BA34E43F8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8" name="Immagine 1957" descr="http://demaco.consob/ArchiflowWeb/images/indicator.gif">
          <a:extLst>
            <a:ext uri="{FF2B5EF4-FFF2-40B4-BE49-F238E27FC236}">
              <a16:creationId xmlns:a16="http://schemas.microsoft.com/office/drawing/2014/main" id="{B2AB32CE-6A6A-4323-94DD-23F61C9E02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59" name="Immagine 1958" descr="http://demaco.consob/ArchiflowWeb/images/indicator.gif">
          <a:extLst>
            <a:ext uri="{FF2B5EF4-FFF2-40B4-BE49-F238E27FC236}">
              <a16:creationId xmlns:a16="http://schemas.microsoft.com/office/drawing/2014/main" id="{C8B1490D-222D-40D3-A3D6-7DAE7FD071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0" name="Immagine 1959" descr="http://demaco.consob/ArchiflowWeb/images/indicator.gif">
          <a:extLst>
            <a:ext uri="{FF2B5EF4-FFF2-40B4-BE49-F238E27FC236}">
              <a16:creationId xmlns:a16="http://schemas.microsoft.com/office/drawing/2014/main" id="{9464DB58-8338-4B39-8BB1-3BBB2FEA90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1" name="Immagine 1960" descr="http://demaco.consob/ArchiflowWeb/images/indicator.gif">
          <a:extLst>
            <a:ext uri="{FF2B5EF4-FFF2-40B4-BE49-F238E27FC236}">
              <a16:creationId xmlns:a16="http://schemas.microsoft.com/office/drawing/2014/main" id="{08F5764B-FB5F-4438-ABD7-17D6324E3C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2" name="Immagine 1961" descr="http://demaco.consob/ArchiflowWeb/images/indicator.gif">
          <a:extLst>
            <a:ext uri="{FF2B5EF4-FFF2-40B4-BE49-F238E27FC236}">
              <a16:creationId xmlns:a16="http://schemas.microsoft.com/office/drawing/2014/main" id="{D0B8F022-9BD3-48A3-86AF-B38549EFEB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3" name="Immagine 1962" descr="http://demaco.consob/ArchiflowWeb/images/indicator.gif">
          <a:extLst>
            <a:ext uri="{FF2B5EF4-FFF2-40B4-BE49-F238E27FC236}">
              <a16:creationId xmlns:a16="http://schemas.microsoft.com/office/drawing/2014/main" id="{3B42DB80-DA49-4274-BF08-5BD9498886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4" name="Immagine 1963" descr="http://demaco.consob/ArchiflowWeb/images/indicator.gif">
          <a:extLst>
            <a:ext uri="{FF2B5EF4-FFF2-40B4-BE49-F238E27FC236}">
              <a16:creationId xmlns:a16="http://schemas.microsoft.com/office/drawing/2014/main" id="{22C12241-0C0C-4579-A886-0C28510109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5" name="Immagine 1964" descr="http://demaco.consob/ArchiflowWeb/images/indicator.gif">
          <a:extLst>
            <a:ext uri="{FF2B5EF4-FFF2-40B4-BE49-F238E27FC236}">
              <a16:creationId xmlns:a16="http://schemas.microsoft.com/office/drawing/2014/main" id="{3C98F6A7-CBAC-4C0C-ABDF-2A204C7CCA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6" name="Immagine 1965" descr="http://demaco.consob/ArchiflowWeb/images/indicator.gif">
          <a:extLst>
            <a:ext uri="{FF2B5EF4-FFF2-40B4-BE49-F238E27FC236}">
              <a16:creationId xmlns:a16="http://schemas.microsoft.com/office/drawing/2014/main" id="{ADEC411C-9BD1-49D7-B1A4-F118F5EAC2D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7" name="Immagine 1966" descr="http://demaco.consob/ArchiflowWeb/images/indicator.gif">
          <a:extLst>
            <a:ext uri="{FF2B5EF4-FFF2-40B4-BE49-F238E27FC236}">
              <a16:creationId xmlns:a16="http://schemas.microsoft.com/office/drawing/2014/main" id="{7E4524C9-578C-4202-8CE5-59BF8DF540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8" name="Immagine 1967" descr="http://demaco.consob/ArchiflowWeb/images/indicator.gif">
          <a:extLst>
            <a:ext uri="{FF2B5EF4-FFF2-40B4-BE49-F238E27FC236}">
              <a16:creationId xmlns:a16="http://schemas.microsoft.com/office/drawing/2014/main" id="{19D1A440-317C-4D39-B397-230AC45880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69" name="Immagine 1968" descr="http://demaco.consob/ArchiflowWeb/images/indicator.gif">
          <a:extLst>
            <a:ext uri="{FF2B5EF4-FFF2-40B4-BE49-F238E27FC236}">
              <a16:creationId xmlns:a16="http://schemas.microsoft.com/office/drawing/2014/main" id="{76C4CB6F-4C17-4316-8671-468754DAC5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0" name="Immagine 1969" descr="http://demaco.consob/ArchiflowWeb/images/indicator.gif">
          <a:extLst>
            <a:ext uri="{FF2B5EF4-FFF2-40B4-BE49-F238E27FC236}">
              <a16:creationId xmlns:a16="http://schemas.microsoft.com/office/drawing/2014/main" id="{1E3C90D1-C15A-4F6F-8C02-9E7D4F407F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1" name="Immagine 1970" descr="http://demaco.consob/ArchiflowWeb/images/indicator.gif">
          <a:extLst>
            <a:ext uri="{FF2B5EF4-FFF2-40B4-BE49-F238E27FC236}">
              <a16:creationId xmlns:a16="http://schemas.microsoft.com/office/drawing/2014/main" id="{D1BB8426-2CA6-446E-B19D-E25CBBACDA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2" name="Immagine 1971" descr="http://demaco.consob/ArchiflowWeb/images/indicator.gif">
          <a:extLst>
            <a:ext uri="{FF2B5EF4-FFF2-40B4-BE49-F238E27FC236}">
              <a16:creationId xmlns:a16="http://schemas.microsoft.com/office/drawing/2014/main" id="{D5DBCDD9-8AD4-465B-B258-2960B7C22A2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3" name="Immagine 1972" descr="http://demaco.consob/ArchiflowWeb/images/indicator.gif">
          <a:extLst>
            <a:ext uri="{FF2B5EF4-FFF2-40B4-BE49-F238E27FC236}">
              <a16:creationId xmlns:a16="http://schemas.microsoft.com/office/drawing/2014/main" id="{E96EDE67-7239-49A5-9141-0DF01B02FFB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4" name="Immagine 1973" descr="http://demaco.consob/ArchiflowWeb/images/indicator.gif">
          <a:extLst>
            <a:ext uri="{FF2B5EF4-FFF2-40B4-BE49-F238E27FC236}">
              <a16:creationId xmlns:a16="http://schemas.microsoft.com/office/drawing/2014/main" id="{B80CF71F-D950-4C93-A042-2D0F20B3E2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5" name="Immagine 1974" descr="http://demaco.consob/ArchiflowWeb/images/indicator.gif">
          <a:extLst>
            <a:ext uri="{FF2B5EF4-FFF2-40B4-BE49-F238E27FC236}">
              <a16:creationId xmlns:a16="http://schemas.microsoft.com/office/drawing/2014/main" id="{7E62C2D2-DABE-4F2A-ADC7-433E02C455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6" name="Immagine 1975" descr="http://demaco.consob/ArchiflowWeb/images/indicator.gif">
          <a:extLst>
            <a:ext uri="{FF2B5EF4-FFF2-40B4-BE49-F238E27FC236}">
              <a16:creationId xmlns:a16="http://schemas.microsoft.com/office/drawing/2014/main" id="{343F5E06-F454-4867-86E9-7914ED2F18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7" name="Immagine 1976" descr="http://demaco.consob/ArchiflowWeb/images/indicator.gif">
          <a:extLst>
            <a:ext uri="{FF2B5EF4-FFF2-40B4-BE49-F238E27FC236}">
              <a16:creationId xmlns:a16="http://schemas.microsoft.com/office/drawing/2014/main" id="{2B0D12E5-21EE-4191-8BD3-C951A4B321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8" name="Immagine 1977" descr="http://demaco.consob/ArchiflowWeb/images/indicator.gif">
          <a:extLst>
            <a:ext uri="{FF2B5EF4-FFF2-40B4-BE49-F238E27FC236}">
              <a16:creationId xmlns:a16="http://schemas.microsoft.com/office/drawing/2014/main" id="{C1A4F88E-1A98-4CFE-A834-B536D28DD4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79" name="Immagine 1978" descr="http://demaco.consob/ArchiflowWeb/images/indicator.gif">
          <a:extLst>
            <a:ext uri="{FF2B5EF4-FFF2-40B4-BE49-F238E27FC236}">
              <a16:creationId xmlns:a16="http://schemas.microsoft.com/office/drawing/2014/main" id="{B33F9E5C-64A4-4EDA-8F93-D3F1B2CA6D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0" name="Immagine 1979" descr="http://demaco.consob/ArchiflowWeb/images/indicator.gif">
          <a:extLst>
            <a:ext uri="{FF2B5EF4-FFF2-40B4-BE49-F238E27FC236}">
              <a16:creationId xmlns:a16="http://schemas.microsoft.com/office/drawing/2014/main" id="{58CCE4A2-F4CC-42D9-82B7-3F24F226A4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1" name="Immagine 1980" descr="http://demaco.consob/ArchiflowWeb/images/indicator.gif">
          <a:extLst>
            <a:ext uri="{FF2B5EF4-FFF2-40B4-BE49-F238E27FC236}">
              <a16:creationId xmlns:a16="http://schemas.microsoft.com/office/drawing/2014/main" id="{066CDD3B-C09B-4436-B7A9-717943B4E1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2" name="Immagine 1981" descr="http://demaco.consob/ArchiflowWeb/images/indicator.gif">
          <a:extLst>
            <a:ext uri="{FF2B5EF4-FFF2-40B4-BE49-F238E27FC236}">
              <a16:creationId xmlns:a16="http://schemas.microsoft.com/office/drawing/2014/main" id="{E9A11730-EF61-40E2-AE4A-86E95950CD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3" name="Immagine 1982" descr="http://demaco.consob/ArchiflowWeb/images/indicator.gif">
          <a:extLst>
            <a:ext uri="{FF2B5EF4-FFF2-40B4-BE49-F238E27FC236}">
              <a16:creationId xmlns:a16="http://schemas.microsoft.com/office/drawing/2014/main" id="{DCDF2D95-1162-473A-A8B8-4DBF9441F58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4" name="Immagine 1983" descr="http://demaco.consob/ArchiflowWeb/images/indicator.gif">
          <a:extLst>
            <a:ext uri="{FF2B5EF4-FFF2-40B4-BE49-F238E27FC236}">
              <a16:creationId xmlns:a16="http://schemas.microsoft.com/office/drawing/2014/main" id="{2C1BA73E-B6C8-4507-A8BA-D31D7880EF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5" name="Immagine 1984" descr="http://demaco.consob/ArchiflowWeb/images/indicator.gif">
          <a:extLst>
            <a:ext uri="{FF2B5EF4-FFF2-40B4-BE49-F238E27FC236}">
              <a16:creationId xmlns:a16="http://schemas.microsoft.com/office/drawing/2014/main" id="{6219DA8D-248F-43DC-8305-C3A5A9BDC9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6" name="Immagine 1985" descr="http://demaco.consob/ArchiflowWeb/images/indicator.gif">
          <a:extLst>
            <a:ext uri="{FF2B5EF4-FFF2-40B4-BE49-F238E27FC236}">
              <a16:creationId xmlns:a16="http://schemas.microsoft.com/office/drawing/2014/main" id="{41CE97CC-5666-4006-8F4F-6452965805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7" name="Immagine 1986" descr="http://demaco.consob/ArchiflowWeb/images/indicator.gif">
          <a:extLst>
            <a:ext uri="{FF2B5EF4-FFF2-40B4-BE49-F238E27FC236}">
              <a16:creationId xmlns:a16="http://schemas.microsoft.com/office/drawing/2014/main" id="{EBF034F1-2C19-4141-82DF-6391CBCE5D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8" name="Immagine 1987" descr="http://demaco.consob/ArchiflowWeb/images/indicator.gif">
          <a:extLst>
            <a:ext uri="{FF2B5EF4-FFF2-40B4-BE49-F238E27FC236}">
              <a16:creationId xmlns:a16="http://schemas.microsoft.com/office/drawing/2014/main" id="{EDAA759D-386D-47A5-952B-C6E13E377E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89" name="Immagine 1988" descr="http://demaco.consob/ArchiflowWeb/images/indicator.gif">
          <a:extLst>
            <a:ext uri="{FF2B5EF4-FFF2-40B4-BE49-F238E27FC236}">
              <a16:creationId xmlns:a16="http://schemas.microsoft.com/office/drawing/2014/main" id="{1F3C10B9-EE61-46FE-8F06-6E04F29A9E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0" name="Immagine 1989" descr="http://demaco.consob/ArchiflowWeb/images/indicator.gif">
          <a:extLst>
            <a:ext uri="{FF2B5EF4-FFF2-40B4-BE49-F238E27FC236}">
              <a16:creationId xmlns:a16="http://schemas.microsoft.com/office/drawing/2014/main" id="{C95A6745-2B8E-4608-AAFE-653A0D2841F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1" name="Immagine 1990" descr="http://demaco.consob/ArchiflowWeb/images/indicator.gif">
          <a:extLst>
            <a:ext uri="{FF2B5EF4-FFF2-40B4-BE49-F238E27FC236}">
              <a16:creationId xmlns:a16="http://schemas.microsoft.com/office/drawing/2014/main" id="{78DB6400-2692-465D-A6EE-E5BE20CDCF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2" name="Immagine 1991" descr="http://demaco.consob/ArchiflowWeb/images/indicator.gif">
          <a:extLst>
            <a:ext uri="{FF2B5EF4-FFF2-40B4-BE49-F238E27FC236}">
              <a16:creationId xmlns:a16="http://schemas.microsoft.com/office/drawing/2014/main" id="{4C0A39D7-32D4-4BED-AF04-A826BB3D484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3" name="Immagine 1992" descr="http://demaco.consob/ArchiflowWeb/images/indicator.gif">
          <a:extLst>
            <a:ext uri="{FF2B5EF4-FFF2-40B4-BE49-F238E27FC236}">
              <a16:creationId xmlns:a16="http://schemas.microsoft.com/office/drawing/2014/main" id="{140B3B36-D964-40F4-B5CA-74C81B5E203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4" name="Immagine 1993" descr="http://demaco.consob/ArchiflowWeb/images/indicator.gif">
          <a:extLst>
            <a:ext uri="{FF2B5EF4-FFF2-40B4-BE49-F238E27FC236}">
              <a16:creationId xmlns:a16="http://schemas.microsoft.com/office/drawing/2014/main" id="{7310B2D8-69F1-451F-B740-A2338FF995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5" name="Immagine 1994" descr="http://demaco.consob/ArchiflowWeb/images/indicator.gif">
          <a:extLst>
            <a:ext uri="{FF2B5EF4-FFF2-40B4-BE49-F238E27FC236}">
              <a16:creationId xmlns:a16="http://schemas.microsoft.com/office/drawing/2014/main" id="{61708AFC-27A3-442A-800B-9B400C6E9B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6" name="Immagine 1995" descr="http://demaco.consob/ArchiflowWeb/images/indicator.gif">
          <a:extLst>
            <a:ext uri="{FF2B5EF4-FFF2-40B4-BE49-F238E27FC236}">
              <a16:creationId xmlns:a16="http://schemas.microsoft.com/office/drawing/2014/main" id="{D1CE6860-EE12-49CF-B1FC-4BA0C1FAD7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7" name="Immagine 1996" descr="http://demaco.consob/ArchiflowWeb/images/indicator.gif">
          <a:extLst>
            <a:ext uri="{FF2B5EF4-FFF2-40B4-BE49-F238E27FC236}">
              <a16:creationId xmlns:a16="http://schemas.microsoft.com/office/drawing/2014/main" id="{AF2D1896-107F-4497-839A-1C6F17A445F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8" name="Immagine 1997" descr="http://demaco.consob/ArchiflowWeb/images/indicator.gif">
          <a:extLst>
            <a:ext uri="{FF2B5EF4-FFF2-40B4-BE49-F238E27FC236}">
              <a16:creationId xmlns:a16="http://schemas.microsoft.com/office/drawing/2014/main" id="{12C0419B-A75D-4DA3-9AC3-CAF7C2FEBEB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1999" name="Immagine 1998" descr="http://demaco.consob/ArchiflowWeb/images/indicator.gif">
          <a:extLst>
            <a:ext uri="{FF2B5EF4-FFF2-40B4-BE49-F238E27FC236}">
              <a16:creationId xmlns:a16="http://schemas.microsoft.com/office/drawing/2014/main" id="{05A7FF70-B1F9-46BC-A89F-0DF7F674FEF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0" name="Immagine 1999" descr="http://demaco.consob/ArchiflowWeb/images/indicator.gif">
          <a:extLst>
            <a:ext uri="{FF2B5EF4-FFF2-40B4-BE49-F238E27FC236}">
              <a16:creationId xmlns:a16="http://schemas.microsoft.com/office/drawing/2014/main" id="{EE2FEB7D-D60D-4126-8F77-D7D4CDC3AA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1" name="Immagine 2000" descr="http://demaco.consob/ArchiflowWeb/images/indicator.gif">
          <a:extLst>
            <a:ext uri="{FF2B5EF4-FFF2-40B4-BE49-F238E27FC236}">
              <a16:creationId xmlns:a16="http://schemas.microsoft.com/office/drawing/2014/main" id="{46A24C3D-1F9E-4F04-9F73-79A9ED6CB3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2" name="Immagine 2001" descr="http://demaco.consob/ArchiflowWeb/images/indicator.gif">
          <a:extLst>
            <a:ext uri="{FF2B5EF4-FFF2-40B4-BE49-F238E27FC236}">
              <a16:creationId xmlns:a16="http://schemas.microsoft.com/office/drawing/2014/main" id="{CB6387E2-A784-49DB-A7ED-D74456AA25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3" name="Immagine 2002" descr="http://demaco.consob/ArchiflowWeb/images/indicator.gif">
          <a:extLst>
            <a:ext uri="{FF2B5EF4-FFF2-40B4-BE49-F238E27FC236}">
              <a16:creationId xmlns:a16="http://schemas.microsoft.com/office/drawing/2014/main" id="{3A5DE031-DA69-49A7-A1B2-C71F047CAA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4" name="Immagine 2003" descr="http://demaco.consob/ArchiflowWeb/images/indicator.gif">
          <a:extLst>
            <a:ext uri="{FF2B5EF4-FFF2-40B4-BE49-F238E27FC236}">
              <a16:creationId xmlns:a16="http://schemas.microsoft.com/office/drawing/2014/main" id="{C01A4100-D484-453A-BA90-BF89EA99E25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5" name="Immagine 2004" descr="http://demaco.consob/ArchiflowWeb/images/indicator.gif">
          <a:extLst>
            <a:ext uri="{FF2B5EF4-FFF2-40B4-BE49-F238E27FC236}">
              <a16:creationId xmlns:a16="http://schemas.microsoft.com/office/drawing/2014/main" id="{99379E2A-E52C-4974-A251-2904F015C1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6" name="Immagine 2005" descr="http://demaco.consob/ArchiflowWeb/images/indicator.gif">
          <a:extLst>
            <a:ext uri="{FF2B5EF4-FFF2-40B4-BE49-F238E27FC236}">
              <a16:creationId xmlns:a16="http://schemas.microsoft.com/office/drawing/2014/main" id="{DD420DC3-014D-4EF1-AFFD-969051A8BD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7" name="Immagine 2006" descr="http://demaco.consob/ArchiflowWeb/images/indicator.gif">
          <a:extLst>
            <a:ext uri="{FF2B5EF4-FFF2-40B4-BE49-F238E27FC236}">
              <a16:creationId xmlns:a16="http://schemas.microsoft.com/office/drawing/2014/main" id="{C39F3993-1048-476B-A8B4-5E40AB1438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8" name="Immagine 2007" descr="http://demaco.consob/ArchiflowWeb/images/indicator.gif">
          <a:extLst>
            <a:ext uri="{FF2B5EF4-FFF2-40B4-BE49-F238E27FC236}">
              <a16:creationId xmlns:a16="http://schemas.microsoft.com/office/drawing/2014/main" id="{DD8EFF9B-5F0F-4F75-95BB-3521DA4027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09" name="Immagine 2008" descr="http://demaco.consob/ArchiflowWeb/images/indicator.gif">
          <a:extLst>
            <a:ext uri="{FF2B5EF4-FFF2-40B4-BE49-F238E27FC236}">
              <a16:creationId xmlns:a16="http://schemas.microsoft.com/office/drawing/2014/main" id="{79D431AD-F7D5-4F12-91A8-2D4091E222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0" name="Immagine 2009" descr="http://demaco.consob/ArchiflowWeb/images/indicator.gif">
          <a:extLst>
            <a:ext uri="{FF2B5EF4-FFF2-40B4-BE49-F238E27FC236}">
              <a16:creationId xmlns:a16="http://schemas.microsoft.com/office/drawing/2014/main" id="{729F666A-D524-42F0-9439-B0658B1AA3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1" name="Immagine 2010" descr="http://demaco.consob/ArchiflowWeb/images/indicator.gif">
          <a:extLst>
            <a:ext uri="{FF2B5EF4-FFF2-40B4-BE49-F238E27FC236}">
              <a16:creationId xmlns:a16="http://schemas.microsoft.com/office/drawing/2014/main" id="{6BA9C5D9-EFE8-4CAB-A755-EDF1A2A992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2" name="Immagine 2011" descr="http://demaco.consob/ArchiflowWeb/images/indicator.gif">
          <a:extLst>
            <a:ext uri="{FF2B5EF4-FFF2-40B4-BE49-F238E27FC236}">
              <a16:creationId xmlns:a16="http://schemas.microsoft.com/office/drawing/2014/main" id="{65827EE5-93BF-4A1F-909E-74EFDB57FC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3" name="Immagine 2012" descr="http://demaco.consob/ArchiflowWeb/images/indicator.gif">
          <a:extLst>
            <a:ext uri="{FF2B5EF4-FFF2-40B4-BE49-F238E27FC236}">
              <a16:creationId xmlns:a16="http://schemas.microsoft.com/office/drawing/2014/main" id="{A033C5FF-1D3B-4956-8C30-E3CEAEB845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4" name="Immagine 2013" descr="http://demaco.consob/ArchiflowWeb/images/indicator.gif">
          <a:extLst>
            <a:ext uri="{FF2B5EF4-FFF2-40B4-BE49-F238E27FC236}">
              <a16:creationId xmlns:a16="http://schemas.microsoft.com/office/drawing/2014/main" id="{34E88A6C-26DC-4093-B920-6C53A95EBEB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5" name="Immagine 2014" descr="http://demaco.consob/ArchiflowWeb/images/indicator.gif">
          <a:extLst>
            <a:ext uri="{FF2B5EF4-FFF2-40B4-BE49-F238E27FC236}">
              <a16:creationId xmlns:a16="http://schemas.microsoft.com/office/drawing/2014/main" id="{268A029B-A9D8-4EE7-9790-23FD2CE12D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6" name="Immagine 2015" descr="http://demaco.consob/ArchiflowWeb/images/indicator.gif">
          <a:extLst>
            <a:ext uri="{FF2B5EF4-FFF2-40B4-BE49-F238E27FC236}">
              <a16:creationId xmlns:a16="http://schemas.microsoft.com/office/drawing/2014/main" id="{51E880A7-83B3-415D-A724-8EE7B4B9F0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7" name="Immagine 2016" descr="http://demaco.consob/ArchiflowWeb/images/indicator.gif">
          <a:extLst>
            <a:ext uri="{FF2B5EF4-FFF2-40B4-BE49-F238E27FC236}">
              <a16:creationId xmlns:a16="http://schemas.microsoft.com/office/drawing/2014/main" id="{88420D45-4A40-4E1E-AB96-B8686529CB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8" name="Immagine 2017" descr="http://demaco.consob/ArchiflowWeb/images/indicator.gif">
          <a:extLst>
            <a:ext uri="{FF2B5EF4-FFF2-40B4-BE49-F238E27FC236}">
              <a16:creationId xmlns:a16="http://schemas.microsoft.com/office/drawing/2014/main" id="{BEEDE5B0-FA2A-4C47-9AD8-1807BB79245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19" name="Immagine 2018" descr="http://demaco.consob/ArchiflowWeb/images/indicator.gif">
          <a:extLst>
            <a:ext uri="{FF2B5EF4-FFF2-40B4-BE49-F238E27FC236}">
              <a16:creationId xmlns:a16="http://schemas.microsoft.com/office/drawing/2014/main" id="{6D11AE85-992E-467D-8879-C080913656A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0" name="Immagine 2019" descr="http://demaco.consob/ArchiflowWeb/images/indicator.gif">
          <a:extLst>
            <a:ext uri="{FF2B5EF4-FFF2-40B4-BE49-F238E27FC236}">
              <a16:creationId xmlns:a16="http://schemas.microsoft.com/office/drawing/2014/main" id="{7FAA02C3-3600-4C03-8656-14032E91A8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1" name="Immagine 2020" descr="http://demaco.consob/ArchiflowWeb/images/indicator.gif">
          <a:extLst>
            <a:ext uri="{FF2B5EF4-FFF2-40B4-BE49-F238E27FC236}">
              <a16:creationId xmlns:a16="http://schemas.microsoft.com/office/drawing/2014/main" id="{21B7AB0C-69AD-4B3C-900B-A653BAF840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2" name="Immagine 2021" descr="http://demaco.consob/ArchiflowWeb/images/indicator.gif">
          <a:extLst>
            <a:ext uri="{FF2B5EF4-FFF2-40B4-BE49-F238E27FC236}">
              <a16:creationId xmlns:a16="http://schemas.microsoft.com/office/drawing/2014/main" id="{14112238-26EA-4177-8DF2-FD73E460CB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3" name="Immagine 2022" descr="http://demaco.consob/ArchiflowWeb/images/indicator.gif">
          <a:extLst>
            <a:ext uri="{FF2B5EF4-FFF2-40B4-BE49-F238E27FC236}">
              <a16:creationId xmlns:a16="http://schemas.microsoft.com/office/drawing/2014/main" id="{2B4A8505-B607-4073-9E4A-02F22E2B96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4" name="Immagine 2023" descr="http://demaco.consob/ArchiflowWeb/images/indicator.gif">
          <a:extLst>
            <a:ext uri="{FF2B5EF4-FFF2-40B4-BE49-F238E27FC236}">
              <a16:creationId xmlns:a16="http://schemas.microsoft.com/office/drawing/2014/main" id="{85F0C86A-CEAF-4399-B100-1CA0982D56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5" name="Immagine 2024" descr="http://demaco.consob/ArchiflowWeb/images/indicator.gif">
          <a:extLst>
            <a:ext uri="{FF2B5EF4-FFF2-40B4-BE49-F238E27FC236}">
              <a16:creationId xmlns:a16="http://schemas.microsoft.com/office/drawing/2014/main" id="{51660260-82C5-443E-A648-B64FEDA56F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6" name="Immagine 2025" descr="http://demaco.consob/ArchiflowWeb/images/indicator.gif">
          <a:extLst>
            <a:ext uri="{FF2B5EF4-FFF2-40B4-BE49-F238E27FC236}">
              <a16:creationId xmlns:a16="http://schemas.microsoft.com/office/drawing/2014/main" id="{43245B73-09B2-4194-931A-BCAC736032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7" name="Immagine 2026" descr="http://demaco.consob/ArchiflowWeb/images/indicator.gif">
          <a:extLst>
            <a:ext uri="{FF2B5EF4-FFF2-40B4-BE49-F238E27FC236}">
              <a16:creationId xmlns:a16="http://schemas.microsoft.com/office/drawing/2014/main" id="{924CC2F3-0481-4C42-AB05-283F7CDC44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8" name="Immagine 2027" descr="http://demaco.consob/ArchiflowWeb/images/indicator.gif">
          <a:extLst>
            <a:ext uri="{FF2B5EF4-FFF2-40B4-BE49-F238E27FC236}">
              <a16:creationId xmlns:a16="http://schemas.microsoft.com/office/drawing/2014/main" id="{1D59B1E5-975A-49E2-A747-0F8DDD9990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29" name="Immagine 2028" descr="http://demaco.consob/ArchiflowWeb/images/indicator.gif">
          <a:extLst>
            <a:ext uri="{FF2B5EF4-FFF2-40B4-BE49-F238E27FC236}">
              <a16:creationId xmlns:a16="http://schemas.microsoft.com/office/drawing/2014/main" id="{4672847D-B043-445E-A790-0C5F3004B6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0" name="Immagine 2029" descr="http://demaco.consob/ArchiflowWeb/images/indicator.gif">
          <a:extLst>
            <a:ext uri="{FF2B5EF4-FFF2-40B4-BE49-F238E27FC236}">
              <a16:creationId xmlns:a16="http://schemas.microsoft.com/office/drawing/2014/main" id="{9018B547-0C2D-4E36-A465-95966B1BC7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1" name="Immagine 2030" descr="http://demaco.consob/ArchiflowWeb/images/indicator.gif">
          <a:extLst>
            <a:ext uri="{FF2B5EF4-FFF2-40B4-BE49-F238E27FC236}">
              <a16:creationId xmlns:a16="http://schemas.microsoft.com/office/drawing/2014/main" id="{ED38B8D5-2E53-4EE1-A8CF-5D129A222E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2" name="Immagine 2031" descr="http://demaco.consob/ArchiflowWeb/images/indicator.gif">
          <a:extLst>
            <a:ext uri="{FF2B5EF4-FFF2-40B4-BE49-F238E27FC236}">
              <a16:creationId xmlns:a16="http://schemas.microsoft.com/office/drawing/2014/main" id="{08C5E40A-086D-4576-92AF-0D925BE8A8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3" name="Immagine 2032" descr="http://demaco.consob/ArchiflowWeb/images/indicator.gif">
          <a:extLst>
            <a:ext uri="{FF2B5EF4-FFF2-40B4-BE49-F238E27FC236}">
              <a16:creationId xmlns:a16="http://schemas.microsoft.com/office/drawing/2014/main" id="{8AA331FB-7D34-490D-8871-906C549DB00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4" name="Immagine 2033" descr="http://demaco.consob/ArchiflowWeb/images/indicator.gif">
          <a:extLst>
            <a:ext uri="{FF2B5EF4-FFF2-40B4-BE49-F238E27FC236}">
              <a16:creationId xmlns:a16="http://schemas.microsoft.com/office/drawing/2014/main" id="{5F904534-810D-4400-B49C-52A3BC3CC5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5" name="Immagine 2034" descr="http://demaco.consob/ArchiflowWeb/images/indicator.gif">
          <a:extLst>
            <a:ext uri="{FF2B5EF4-FFF2-40B4-BE49-F238E27FC236}">
              <a16:creationId xmlns:a16="http://schemas.microsoft.com/office/drawing/2014/main" id="{D5D8B297-2A3D-4064-BB75-0A979E1965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6" name="Immagine 2035" descr="http://demaco.consob/ArchiflowWeb/images/indicator.gif">
          <a:extLst>
            <a:ext uri="{FF2B5EF4-FFF2-40B4-BE49-F238E27FC236}">
              <a16:creationId xmlns:a16="http://schemas.microsoft.com/office/drawing/2014/main" id="{F0B3BEC1-887F-431F-9D8B-DF4CECF20E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7" name="Immagine 2036" descr="http://demaco.consob/ArchiflowWeb/images/indicator.gif">
          <a:extLst>
            <a:ext uri="{FF2B5EF4-FFF2-40B4-BE49-F238E27FC236}">
              <a16:creationId xmlns:a16="http://schemas.microsoft.com/office/drawing/2014/main" id="{0B535D4F-5E5C-4136-BF3E-DD430726CB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8" name="Immagine 2037" descr="http://demaco.consob/ArchiflowWeb/images/indicator.gif">
          <a:extLst>
            <a:ext uri="{FF2B5EF4-FFF2-40B4-BE49-F238E27FC236}">
              <a16:creationId xmlns:a16="http://schemas.microsoft.com/office/drawing/2014/main" id="{4531DD09-4B8F-41D5-AB09-7B49E45B31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39" name="Immagine 2038" descr="http://demaco.consob/ArchiflowWeb/images/indicator.gif">
          <a:extLst>
            <a:ext uri="{FF2B5EF4-FFF2-40B4-BE49-F238E27FC236}">
              <a16:creationId xmlns:a16="http://schemas.microsoft.com/office/drawing/2014/main" id="{7CB1515A-473A-48B2-831C-4698808E898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0" name="Immagine 2039" descr="http://demaco.consob/ArchiflowWeb/images/indicator.gif">
          <a:extLst>
            <a:ext uri="{FF2B5EF4-FFF2-40B4-BE49-F238E27FC236}">
              <a16:creationId xmlns:a16="http://schemas.microsoft.com/office/drawing/2014/main" id="{C7260AD8-45D1-4CA1-8022-44434B1FD0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1" name="Immagine 2040" descr="http://demaco.consob/ArchiflowWeb/images/indicator.gif">
          <a:extLst>
            <a:ext uri="{FF2B5EF4-FFF2-40B4-BE49-F238E27FC236}">
              <a16:creationId xmlns:a16="http://schemas.microsoft.com/office/drawing/2014/main" id="{220202D5-FCEA-49AC-BA2A-1F496393D30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2" name="Immagine 2041" descr="http://demaco.consob/ArchiflowWeb/images/indicator.gif">
          <a:extLst>
            <a:ext uri="{FF2B5EF4-FFF2-40B4-BE49-F238E27FC236}">
              <a16:creationId xmlns:a16="http://schemas.microsoft.com/office/drawing/2014/main" id="{B0378C7F-3C3D-473C-B849-1715633930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3" name="Immagine 2042" descr="http://demaco.consob/ArchiflowWeb/images/indicator.gif">
          <a:extLst>
            <a:ext uri="{FF2B5EF4-FFF2-40B4-BE49-F238E27FC236}">
              <a16:creationId xmlns:a16="http://schemas.microsoft.com/office/drawing/2014/main" id="{DE183D14-A7F5-4366-9BC3-92D8379BDB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4" name="Immagine 2043" descr="http://demaco.consob/ArchiflowWeb/images/indicator.gif">
          <a:extLst>
            <a:ext uri="{FF2B5EF4-FFF2-40B4-BE49-F238E27FC236}">
              <a16:creationId xmlns:a16="http://schemas.microsoft.com/office/drawing/2014/main" id="{A211BD56-B434-4AD6-AC44-170DFF1275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5" name="Immagine 2044" descr="http://demaco.consob/ArchiflowWeb/images/indicator.gif">
          <a:extLst>
            <a:ext uri="{FF2B5EF4-FFF2-40B4-BE49-F238E27FC236}">
              <a16:creationId xmlns:a16="http://schemas.microsoft.com/office/drawing/2014/main" id="{2A1EE887-006A-4E28-A785-7364B3A2DE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6" name="Immagine 2045" descr="http://demaco.consob/ArchiflowWeb/images/indicator.gif">
          <a:extLst>
            <a:ext uri="{FF2B5EF4-FFF2-40B4-BE49-F238E27FC236}">
              <a16:creationId xmlns:a16="http://schemas.microsoft.com/office/drawing/2014/main" id="{8351596C-84FA-4AE2-AC46-99CDBAEF39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7" name="Immagine 2046" descr="http://demaco.consob/ArchiflowWeb/images/indicator.gif">
          <a:extLst>
            <a:ext uri="{FF2B5EF4-FFF2-40B4-BE49-F238E27FC236}">
              <a16:creationId xmlns:a16="http://schemas.microsoft.com/office/drawing/2014/main" id="{0B554FE8-C00D-4168-9C66-6FDDEE9838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8" name="Immagine 2047" descr="http://demaco.consob/ArchiflowWeb/images/indicator.gif">
          <a:extLst>
            <a:ext uri="{FF2B5EF4-FFF2-40B4-BE49-F238E27FC236}">
              <a16:creationId xmlns:a16="http://schemas.microsoft.com/office/drawing/2014/main" id="{CDE874ED-B61A-41A9-895A-5CB13A857A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49" name="Immagine 2048" descr="http://demaco.consob/ArchiflowWeb/images/indicator.gif">
          <a:extLst>
            <a:ext uri="{FF2B5EF4-FFF2-40B4-BE49-F238E27FC236}">
              <a16:creationId xmlns:a16="http://schemas.microsoft.com/office/drawing/2014/main" id="{5C633579-E374-4E71-BB3D-D962973331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50" name="Immagine 2049" descr="http://demaco.consob/ArchiflowWeb/images/indicator.gif">
          <a:extLst>
            <a:ext uri="{FF2B5EF4-FFF2-40B4-BE49-F238E27FC236}">
              <a16:creationId xmlns:a16="http://schemas.microsoft.com/office/drawing/2014/main" id="{09F04DD7-FE90-4D92-90F5-F10187AF6348}"/>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51" name="Immagine 2050" descr="http://demaco.consob/ArchiflowWeb/images/indicator.gif">
          <a:extLst>
            <a:ext uri="{FF2B5EF4-FFF2-40B4-BE49-F238E27FC236}">
              <a16:creationId xmlns:a16="http://schemas.microsoft.com/office/drawing/2014/main" id="{81685DF6-E55A-4F25-B361-57DF2AE463A9}"/>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610</xdr:row>
      <xdr:rowOff>0</xdr:rowOff>
    </xdr:from>
    <xdr:ext cx="152400" cy="152400"/>
    <xdr:pic>
      <xdr:nvPicPr>
        <xdr:cNvPr id="2052" name="Immagine 2051" descr="http://demaco.consob/ArchiflowWeb/images/indicator.gif">
          <a:extLst>
            <a:ext uri="{FF2B5EF4-FFF2-40B4-BE49-F238E27FC236}">
              <a16:creationId xmlns:a16="http://schemas.microsoft.com/office/drawing/2014/main" id="{9F01AC4D-728A-4E02-96C3-AED161969EE6}"/>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2920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611</xdr:row>
      <xdr:rowOff>0</xdr:rowOff>
    </xdr:from>
    <xdr:ext cx="152400" cy="152400"/>
    <xdr:pic>
      <xdr:nvPicPr>
        <xdr:cNvPr id="2053" name="Immagine 2052" descr="http://demaco.consob/ArchiflowWeb/images/indicator.gif">
          <a:extLst>
            <a:ext uri="{FF2B5EF4-FFF2-40B4-BE49-F238E27FC236}">
              <a16:creationId xmlns:a16="http://schemas.microsoft.com/office/drawing/2014/main" id="{7CF551F1-735E-4D3E-B781-5599901B5E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611</xdr:row>
      <xdr:rowOff>0</xdr:rowOff>
    </xdr:from>
    <xdr:ext cx="152400" cy="152400"/>
    <xdr:pic>
      <xdr:nvPicPr>
        <xdr:cNvPr id="2054" name="Immagine 2053" descr="http://demaco.consob/ArchiflowWeb/images/indicator.gif">
          <a:extLst>
            <a:ext uri="{FF2B5EF4-FFF2-40B4-BE49-F238E27FC236}">
              <a16:creationId xmlns:a16="http://schemas.microsoft.com/office/drawing/2014/main" id="{BC775DAF-AA36-4B5C-8FDB-5548A5E95B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611</xdr:row>
      <xdr:rowOff>0</xdr:rowOff>
    </xdr:from>
    <xdr:ext cx="152400" cy="152400"/>
    <xdr:pic>
      <xdr:nvPicPr>
        <xdr:cNvPr id="2055" name="Immagine 2054" descr="http://demaco.consob/ArchiflowWeb/images/indicator.gif">
          <a:extLst>
            <a:ext uri="{FF2B5EF4-FFF2-40B4-BE49-F238E27FC236}">
              <a16:creationId xmlns:a16="http://schemas.microsoft.com/office/drawing/2014/main" id="{3CDDB60D-9153-4E88-ADB3-E25E1C3A30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611</xdr:row>
      <xdr:rowOff>0</xdr:rowOff>
    </xdr:from>
    <xdr:ext cx="152400" cy="152400"/>
    <xdr:pic>
      <xdr:nvPicPr>
        <xdr:cNvPr id="2056" name="Immagine 2055" descr="http://demaco.consob/ArchiflowWeb/images/indicator.gif">
          <a:extLst>
            <a:ext uri="{FF2B5EF4-FFF2-40B4-BE49-F238E27FC236}">
              <a16:creationId xmlns:a16="http://schemas.microsoft.com/office/drawing/2014/main" id="{255CB651-AD28-424A-BC8A-FA4F318FD4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775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57" name="Immagine 2056" descr="http://demaco.consob/ArchiflowWeb/images/indicator.gif">
          <a:extLst>
            <a:ext uri="{FF2B5EF4-FFF2-40B4-BE49-F238E27FC236}">
              <a16:creationId xmlns:a16="http://schemas.microsoft.com/office/drawing/2014/main" id="{00000000-0008-0000-0000-00000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58" name="Immagine 2057" descr="http://demaco.consob/ArchiflowWeb/images/indicator.gif">
          <a:extLst>
            <a:ext uri="{FF2B5EF4-FFF2-40B4-BE49-F238E27FC236}">
              <a16:creationId xmlns:a16="http://schemas.microsoft.com/office/drawing/2014/main" id="{00000000-0008-0000-0000-00000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59" name="Immagine 2058" descr="http://demaco.consob/ArchiflowWeb/images/indicator.gif">
          <a:extLst>
            <a:ext uri="{FF2B5EF4-FFF2-40B4-BE49-F238E27FC236}">
              <a16:creationId xmlns:a16="http://schemas.microsoft.com/office/drawing/2014/main" id="{00000000-0008-0000-0000-00000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60" name="Immagine 2059" descr="http://demaco.consob/ArchiflowWeb/images/indicator.gif">
          <a:extLst>
            <a:ext uri="{FF2B5EF4-FFF2-40B4-BE49-F238E27FC236}">
              <a16:creationId xmlns:a16="http://schemas.microsoft.com/office/drawing/2014/main" id="{00000000-0008-0000-0000-00000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61" name="Immagine 2060" descr="http://demaco.consob/ArchiflowWeb/images/indicator.gif">
          <a:extLst>
            <a:ext uri="{FF2B5EF4-FFF2-40B4-BE49-F238E27FC236}">
              <a16:creationId xmlns:a16="http://schemas.microsoft.com/office/drawing/2014/main" id="{00000000-0008-0000-0000-00000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62" name="Immagine 2061" descr="http://demaco.consob/ArchiflowWeb/images/indicator.gif">
          <a:extLst>
            <a:ext uri="{FF2B5EF4-FFF2-40B4-BE49-F238E27FC236}">
              <a16:creationId xmlns:a16="http://schemas.microsoft.com/office/drawing/2014/main" id="{00000000-0008-0000-0000-00000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63" name="Immagine 2062" descr="http://demaco.consob/ArchiflowWeb/images/indicator.gif">
          <a:extLst>
            <a:ext uri="{FF2B5EF4-FFF2-40B4-BE49-F238E27FC236}">
              <a16:creationId xmlns:a16="http://schemas.microsoft.com/office/drawing/2014/main" id="{00000000-0008-0000-0000-00000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64" name="Immagine 2063" descr="http://demaco.consob/ArchiflowWeb/images/indicator.gif">
          <a:extLst>
            <a:ext uri="{FF2B5EF4-FFF2-40B4-BE49-F238E27FC236}">
              <a16:creationId xmlns:a16="http://schemas.microsoft.com/office/drawing/2014/main" id="{00000000-0008-0000-0000-00000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65" name="Immagine 2064" descr="http://demaco.consob/ArchiflowWeb/images/indicator.gif">
          <a:extLst>
            <a:ext uri="{FF2B5EF4-FFF2-40B4-BE49-F238E27FC236}">
              <a16:creationId xmlns:a16="http://schemas.microsoft.com/office/drawing/2014/main" id="{00000000-0008-0000-0000-00000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66" name="Immagine 2065" descr="http://demaco.consob/ArchiflowWeb/images/indicator.gif">
          <a:extLst>
            <a:ext uri="{FF2B5EF4-FFF2-40B4-BE49-F238E27FC236}">
              <a16:creationId xmlns:a16="http://schemas.microsoft.com/office/drawing/2014/main" id="{00000000-0008-0000-0000-00000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67" name="Immagine 2066" descr="http://demaco.consob/ArchiflowWeb/images/indicator.gif">
          <a:extLst>
            <a:ext uri="{FF2B5EF4-FFF2-40B4-BE49-F238E27FC236}">
              <a16:creationId xmlns:a16="http://schemas.microsoft.com/office/drawing/2014/main" id="{00000000-0008-0000-0000-00000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68" name="Immagine 2067" descr="http://demaco.consob/ArchiflowWeb/images/indicator.gif">
          <a:extLst>
            <a:ext uri="{FF2B5EF4-FFF2-40B4-BE49-F238E27FC236}">
              <a16:creationId xmlns:a16="http://schemas.microsoft.com/office/drawing/2014/main" id="{00000000-0008-0000-0000-00000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69" name="Immagine 2068" descr="http://demaco.consob/ArchiflowWeb/images/indicator.gif">
          <a:extLst>
            <a:ext uri="{FF2B5EF4-FFF2-40B4-BE49-F238E27FC236}">
              <a16:creationId xmlns:a16="http://schemas.microsoft.com/office/drawing/2014/main" id="{00000000-0008-0000-0000-00000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70" name="Immagine 2069" descr="http://demaco.consob/ArchiflowWeb/images/indicator.gif">
          <a:extLst>
            <a:ext uri="{FF2B5EF4-FFF2-40B4-BE49-F238E27FC236}">
              <a16:creationId xmlns:a16="http://schemas.microsoft.com/office/drawing/2014/main" id="{00000000-0008-0000-0000-00000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71" name="Immagine 2070" descr="http://demaco.consob/ArchiflowWeb/images/indicator.gif">
          <a:extLst>
            <a:ext uri="{FF2B5EF4-FFF2-40B4-BE49-F238E27FC236}">
              <a16:creationId xmlns:a16="http://schemas.microsoft.com/office/drawing/2014/main" id="{00000000-0008-0000-0000-00001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72" name="Immagine 2071" descr="http://demaco.consob/ArchiflowWeb/images/indicator.gif">
          <a:extLst>
            <a:ext uri="{FF2B5EF4-FFF2-40B4-BE49-F238E27FC236}">
              <a16:creationId xmlns:a16="http://schemas.microsoft.com/office/drawing/2014/main" id="{00000000-0008-0000-0000-00001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73" name="Immagine 2072" descr="http://demaco.consob/ArchiflowWeb/images/indicator.gif">
          <a:extLst>
            <a:ext uri="{FF2B5EF4-FFF2-40B4-BE49-F238E27FC236}">
              <a16:creationId xmlns:a16="http://schemas.microsoft.com/office/drawing/2014/main" id="{00000000-0008-0000-0000-00001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74" name="Immagine 2073" descr="http://demaco.consob/ArchiflowWeb/images/indicator.gif">
          <a:extLst>
            <a:ext uri="{FF2B5EF4-FFF2-40B4-BE49-F238E27FC236}">
              <a16:creationId xmlns:a16="http://schemas.microsoft.com/office/drawing/2014/main" id="{00000000-0008-0000-0000-00001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75" name="Immagine 2074" descr="http://demaco.consob/ArchiflowWeb/images/indicator.gif">
          <a:extLst>
            <a:ext uri="{FF2B5EF4-FFF2-40B4-BE49-F238E27FC236}">
              <a16:creationId xmlns:a16="http://schemas.microsoft.com/office/drawing/2014/main" id="{00000000-0008-0000-0000-00001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76" name="Immagine 2075" descr="http://demaco.consob/ArchiflowWeb/images/indicator.gif">
          <a:extLst>
            <a:ext uri="{FF2B5EF4-FFF2-40B4-BE49-F238E27FC236}">
              <a16:creationId xmlns:a16="http://schemas.microsoft.com/office/drawing/2014/main" id="{00000000-0008-0000-0000-00001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77" name="Immagine 2076" descr="http://demaco.consob/ArchiflowWeb/images/indicator.gif">
          <a:extLst>
            <a:ext uri="{FF2B5EF4-FFF2-40B4-BE49-F238E27FC236}">
              <a16:creationId xmlns:a16="http://schemas.microsoft.com/office/drawing/2014/main" id="{00000000-0008-0000-0000-00001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78" name="Immagine 2077" descr="http://demaco.consob/ArchiflowWeb/images/indicator.gif">
          <a:extLst>
            <a:ext uri="{FF2B5EF4-FFF2-40B4-BE49-F238E27FC236}">
              <a16:creationId xmlns:a16="http://schemas.microsoft.com/office/drawing/2014/main" id="{00000000-0008-0000-0000-00001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79" name="Immagine 2078" descr="http://demaco.consob/ArchiflowWeb/images/indicator.gif">
          <a:extLst>
            <a:ext uri="{FF2B5EF4-FFF2-40B4-BE49-F238E27FC236}">
              <a16:creationId xmlns:a16="http://schemas.microsoft.com/office/drawing/2014/main" id="{00000000-0008-0000-0000-00001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80" name="Immagine 2079" descr="http://demaco.consob/ArchiflowWeb/images/indicator.gif">
          <a:extLst>
            <a:ext uri="{FF2B5EF4-FFF2-40B4-BE49-F238E27FC236}">
              <a16:creationId xmlns:a16="http://schemas.microsoft.com/office/drawing/2014/main" id="{00000000-0008-0000-0000-00001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81" name="Immagine 2080" descr="http://demaco.consob/ArchiflowWeb/images/indicator.gif">
          <a:extLst>
            <a:ext uri="{FF2B5EF4-FFF2-40B4-BE49-F238E27FC236}">
              <a16:creationId xmlns:a16="http://schemas.microsoft.com/office/drawing/2014/main" id="{00000000-0008-0000-0000-00001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82" name="Immagine 2081" descr="http://demaco.consob/ArchiflowWeb/images/indicator.gif">
          <a:extLst>
            <a:ext uri="{FF2B5EF4-FFF2-40B4-BE49-F238E27FC236}">
              <a16:creationId xmlns:a16="http://schemas.microsoft.com/office/drawing/2014/main" id="{00000000-0008-0000-0000-00001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83" name="Immagine 2082" descr="http://demaco.consob/ArchiflowWeb/images/indicator.gif">
          <a:extLst>
            <a:ext uri="{FF2B5EF4-FFF2-40B4-BE49-F238E27FC236}">
              <a16:creationId xmlns:a16="http://schemas.microsoft.com/office/drawing/2014/main" id="{00000000-0008-0000-0000-00001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84" name="Immagine 2083" descr="http://demaco.consob/ArchiflowWeb/images/indicator.gif">
          <a:extLst>
            <a:ext uri="{FF2B5EF4-FFF2-40B4-BE49-F238E27FC236}">
              <a16:creationId xmlns:a16="http://schemas.microsoft.com/office/drawing/2014/main" id="{00000000-0008-0000-0000-00001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85" name="Immagine 2084" descr="http://demaco.consob/ArchiflowWeb/images/indicator.gif">
          <a:extLst>
            <a:ext uri="{FF2B5EF4-FFF2-40B4-BE49-F238E27FC236}">
              <a16:creationId xmlns:a16="http://schemas.microsoft.com/office/drawing/2014/main" id="{00000000-0008-0000-0000-00001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86" name="Immagine 2085" descr="http://demaco.consob/ArchiflowWeb/images/indicator.gif">
          <a:extLst>
            <a:ext uri="{FF2B5EF4-FFF2-40B4-BE49-F238E27FC236}">
              <a16:creationId xmlns:a16="http://schemas.microsoft.com/office/drawing/2014/main" id="{00000000-0008-0000-0000-00001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87" name="Immagine 2086" descr="http://demaco.consob/ArchiflowWeb/images/indicator.gif">
          <a:extLst>
            <a:ext uri="{FF2B5EF4-FFF2-40B4-BE49-F238E27FC236}">
              <a16:creationId xmlns:a16="http://schemas.microsoft.com/office/drawing/2014/main" id="{00000000-0008-0000-0000-00002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88" name="Immagine 2087" descr="http://demaco.consob/ArchiflowWeb/images/indicator.gif">
          <a:extLst>
            <a:ext uri="{FF2B5EF4-FFF2-40B4-BE49-F238E27FC236}">
              <a16:creationId xmlns:a16="http://schemas.microsoft.com/office/drawing/2014/main" id="{00000000-0008-0000-0000-00002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89" name="Immagine 2088" descr="http://demaco.consob/ArchiflowWeb/images/indicator.gif">
          <a:extLst>
            <a:ext uri="{FF2B5EF4-FFF2-40B4-BE49-F238E27FC236}">
              <a16:creationId xmlns:a16="http://schemas.microsoft.com/office/drawing/2014/main" id="{00000000-0008-0000-0000-00002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90" name="Immagine 2089" descr="http://demaco.consob/ArchiflowWeb/images/indicator.gif">
          <a:extLst>
            <a:ext uri="{FF2B5EF4-FFF2-40B4-BE49-F238E27FC236}">
              <a16:creationId xmlns:a16="http://schemas.microsoft.com/office/drawing/2014/main" id="{00000000-0008-0000-0000-00002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91" name="Immagine 2090" descr="http://demaco.consob/ArchiflowWeb/images/indicator.gif">
          <a:extLst>
            <a:ext uri="{FF2B5EF4-FFF2-40B4-BE49-F238E27FC236}">
              <a16:creationId xmlns:a16="http://schemas.microsoft.com/office/drawing/2014/main" id="{00000000-0008-0000-0000-00002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92" name="Immagine 2091" descr="http://demaco.consob/ArchiflowWeb/images/indicator.gif">
          <a:extLst>
            <a:ext uri="{FF2B5EF4-FFF2-40B4-BE49-F238E27FC236}">
              <a16:creationId xmlns:a16="http://schemas.microsoft.com/office/drawing/2014/main" id="{00000000-0008-0000-0000-00002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93" name="Immagine 2092" descr="http://demaco.consob/ArchiflowWeb/images/indicator.gif">
          <a:extLst>
            <a:ext uri="{FF2B5EF4-FFF2-40B4-BE49-F238E27FC236}">
              <a16:creationId xmlns:a16="http://schemas.microsoft.com/office/drawing/2014/main" id="{00000000-0008-0000-0000-00002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94" name="Immagine 2093" descr="http://demaco.consob/ArchiflowWeb/images/indicator.gif">
          <a:extLst>
            <a:ext uri="{FF2B5EF4-FFF2-40B4-BE49-F238E27FC236}">
              <a16:creationId xmlns:a16="http://schemas.microsoft.com/office/drawing/2014/main" id="{00000000-0008-0000-0000-00002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95" name="Immagine 2094" descr="http://demaco.consob/ArchiflowWeb/images/indicator.gif">
          <a:extLst>
            <a:ext uri="{FF2B5EF4-FFF2-40B4-BE49-F238E27FC236}">
              <a16:creationId xmlns:a16="http://schemas.microsoft.com/office/drawing/2014/main" id="{00000000-0008-0000-0000-00002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96" name="Immagine 2095" descr="http://demaco.consob/ArchiflowWeb/images/indicator.gif">
          <a:extLst>
            <a:ext uri="{FF2B5EF4-FFF2-40B4-BE49-F238E27FC236}">
              <a16:creationId xmlns:a16="http://schemas.microsoft.com/office/drawing/2014/main" id="{00000000-0008-0000-0000-00002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97" name="Immagine 2096" descr="http://demaco.consob/ArchiflowWeb/images/indicator.gif">
          <a:extLst>
            <a:ext uri="{FF2B5EF4-FFF2-40B4-BE49-F238E27FC236}">
              <a16:creationId xmlns:a16="http://schemas.microsoft.com/office/drawing/2014/main" id="{00000000-0008-0000-0000-00002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098" name="Immagine 2097" descr="http://demaco.consob/ArchiflowWeb/images/indicator.gif">
          <a:extLst>
            <a:ext uri="{FF2B5EF4-FFF2-40B4-BE49-F238E27FC236}">
              <a16:creationId xmlns:a16="http://schemas.microsoft.com/office/drawing/2014/main" id="{00000000-0008-0000-0000-00002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099" name="Immagine 2098" descr="http://demaco.consob/ArchiflowWeb/images/indicator.gif">
          <a:extLst>
            <a:ext uri="{FF2B5EF4-FFF2-40B4-BE49-F238E27FC236}">
              <a16:creationId xmlns:a16="http://schemas.microsoft.com/office/drawing/2014/main" id="{00000000-0008-0000-0000-00002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00" name="Immagine 2099" descr="http://demaco.consob/ArchiflowWeb/images/indicator.gif">
          <a:extLst>
            <a:ext uri="{FF2B5EF4-FFF2-40B4-BE49-F238E27FC236}">
              <a16:creationId xmlns:a16="http://schemas.microsoft.com/office/drawing/2014/main" id="{00000000-0008-0000-0000-00002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01" name="Immagine 2100" descr="http://demaco.consob/ArchiflowWeb/images/indicator.gif">
          <a:extLst>
            <a:ext uri="{FF2B5EF4-FFF2-40B4-BE49-F238E27FC236}">
              <a16:creationId xmlns:a16="http://schemas.microsoft.com/office/drawing/2014/main" id="{00000000-0008-0000-0000-00002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02" name="Immagine 2101" descr="http://demaco.consob/ArchiflowWeb/images/indicator.gif">
          <a:extLst>
            <a:ext uri="{FF2B5EF4-FFF2-40B4-BE49-F238E27FC236}">
              <a16:creationId xmlns:a16="http://schemas.microsoft.com/office/drawing/2014/main" id="{00000000-0008-0000-0000-00002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03" name="Immagine 2102" descr="http://demaco.consob/ArchiflowWeb/images/indicator.gif">
          <a:extLst>
            <a:ext uri="{FF2B5EF4-FFF2-40B4-BE49-F238E27FC236}">
              <a16:creationId xmlns:a16="http://schemas.microsoft.com/office/drawing/2014/main" id="{00000000-0008-0000-0000-00003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04" name="Immagine 2103" descr="http://demaco.consob/ArchiflowWeb/images/indicator.gif">
          <a:extLst>
            <a:ext uri="{FF2B5EF4-FFF2-40B4-BE49-F238E27FC236}">
              <a16:creationId xmlns:a16="http://schemas.microsoft.com/office/drawing/2014/main" id="{00000000-0008-0000-0000-00003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05" name="Immagine 2104" descr="http://demaco.consob/ArchiflowWeb/images/indicator.gif">
          <a:extLst>
            <a:ext uri="{FF2B5EF4-FFF2-40B4-BE49-F238E27FC236}">
              <a16:creationId xmlns:a16="http://schemas.microsoft.com/office/drawing/2014/main" id="{00000000-0008-0000-0000-00003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06" name="Immagine 2105" descr="http://demaco.consob/ArchiflowWeb/images/indicator.gif">
          <a:extLst>
            <a:ext uri="{FF2B5EF4-FFF2-40B4-BE49-F238E27FC236}">
              <a16:creationId xmlns:a16="http://schemas.microsoft.com/office/drawing/2014/main" id="{00000000-0008-0000-0000-00003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07" name="Immagine 2106" descr="http://demaco.consob/ArchiflowWeb/images/indicator.gif">
          <a:extLst>
            <a:ext uri="{FF2B5EF4-FFF2-40B4-BE49-F238E27FC236}">
              <a16:creationId xmlns:a16="http://schemas.microsoft.com/office/drawing/2014/main" id="{00000000-0008-0000-0000-00003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08" name="Immagine 2107" descr="http://demaco.consob/ArchiflowWeb/images/indicator.gif">
          <a:extLst>
            <a:ext uri="{FF2B5EF4-FFF2-40B4-BE49-F238E27FC236}">
              <a16:creationId xmlns:a16="http://schemas.microsoft.com/office/drawing/2014/main" id="{00000000-0008-0000-0000-00003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09" name="Immagine 2108" descr="http://demaco.consob/ArchiflowWeb/images/indicator.gif">
          <a:extLst>
            <a:ext uri="{FF2B5EF4-FFF2-40B4-BE49-F238E27FC236}">
              <a16:creationId xmlns:a16="http://schemas.microsoft.com/office/drawing/2014/main" id="{00000000-0008-0000-0000-00003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10" name="Immagine 2109" descr="http://demaco.consob/ArchiflowWeb/images/indicator.gif">
          <a:extLst>
            <a:ext uri="{FF2B5EF4-FFF2-40B4-BE49-F238E27FC236}">
              <a16:creationId xmlns:a16="http://schemas.microsoft.com/office/drawing/2014/main" id="{00000000-0008-0000-0000-00003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11" name="Immagine 2110" descr="http://demaco.consob/ArchiflowWeb/images/indicator.gif">
          <a:extLst>
            <a:ext uri="{FF2B5EF4-FFF2-40B4-BE49-F238E27FC236}">
              <a16:creationId xmlns:a16="http://schemas.microsoft.com/office/drawing/2014/main" id="{00000000-0008-0000-0000-00003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12" name="Immagine 2111" descr="http://demaco.consob/ArchiflowWeb/images/indicator.gif">
          <a:extLst>
            <a:ext uri="{FF2B5EF4-FFF2-40B4-BE49-F238E27FC236}">
              <a16:creationId xmlns:a16="http://schemas.microsoft.com/office/drawing/2014/main" id="{00000000-0008-0000-0000-00003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13" name="Immagine 2112" descr="http://demaco.consob/ArchiflowWeb/images/indicator.gif">
          <a:extLst>
            <a:ext uri="{FF2B5EF4-FFF2-40B4-BE49-F238E27FC236}">
              <a16:creationId xmlns:a16="http://schemas.microsoft.com/office/drawing/2014/main" id="{00000000-0008-0000-0000-00003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14" name="Immagine 2113" descr="http://demaco.consob/ArchiflowWeb/images/indicator.gif">
          <a:extLst>
            <a:ext uri="{FF2B5EF4-FFF2-40B4-BE49-F238E27FC236}">
              <a16:creationId xmlns:a16="http://schemas.microsoft.com/office/drawing/2014/main" id="{00000000-0008-0000-0000-00003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15" name="Immagine 2114" descr="http://demaco.consob/ArchiflowWeb/images/indicator.gif">
          <a:extLst>
            <a:ext uri="{FF2B5EF4-FFF2-40B4-BE49-F238E27FC236}">
              <a16:creationId xmlns:a16="http://schemas.microsoft.com/office/drawing/2014/main" id="{00000000-0008-0000-0000-00003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16" name="Immagine 2115" descr="http://demaco.consob/ArchiflowWeb/images/indicator.gif">
          <a:extLst>
            <a:ext uri="{FF2B5EF4-FFF2-40B4-BE49-F238E27FC236}">
              <a16:creationId xmlns:a16="http://schemas.microsoft.com/office/drawing/2014/main" id="{00000000-0008-0000-0000-00003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17" name="Immagine 2116" descr="http://demaco.consob/ArchiflowWeb/images/indicator.gif">
          <a:extLst>
            <a:ext uri="{FF2B5EF4-FFF2-40B4-BE49-F238E27FC236}">
              <a16:creationId xmlns:a16="http://schemas.microsoft.com/office/drawing/2014/main" id="{00000000-0008-0000-0000-00003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18" name="Immagine 2117" descr="http://demaco.consob/ArchiflowWeb/images/indicator.gif">
          <a:extLst>
            <a:ext uri="{FF2B5EF4-FFF2-40B4-BE49-F238E27FC236}">
              <a16:creationId xmlns:a16="http://schemas.microsoft.com/office/drawing/2014/main" id="{00000000-0008-0000-0000-00003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19" name="Immagine 2118" descr="http://demaco.consob/ArchiflowWeb/images/indicator.gif">
          <a:extLst>
            <a:ext uri="{FF2B5EF4-FFF2-40B4-BE49-F238E27FC236}">
              <a16:creationId xmlns:a16="http://schemas.microsoft.com/office/drawing/2014/main" id="{00000000-0008-0000-0000-00004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20" name="Immagine 2119" descr="http://demaco.consob/ArchiflowWeb/images/indicator.gif">
          <a:extLst>
            <a:ext uri="{FF2B5EF4-FFF2-40B4-BE49-F238E27FC236}">
              <a16:creationId xmlns:a16="http://schemas.microsoft.com/office/drawing/2014/main" id="{00000000-0008-0000-0000-00004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21" name="Immagine 2120" descr="http://demaco.consob/ArchiflowWeb/images/indicator.gif">
          <a:extLst>
            <a:ext uri="{FF2B5EF4-FFF2-40B4-BE49-F238E27FC236}">
              <a16:creationId xmlns:a16="http://schemas.microsoft.com/office/drawing/2014/main" id="{00000000-0008-0000-0000-00004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22" name="Immagine 2121" descr="http://demaco.consob/ArchiflowWeb/images/indicator.gif">
          <a:extLst>
            <a:ext uri="{FF2B5EF4-FFF2-40B4-BE49-F238E27FC236}">
              <a16:creationId xmlns:a16="http://schemas.microsoft.com/office/drawing/2014/main" id="{00000000-0008-0000-0000-00004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23" name="Immagine 2122" descr="http://demaco.consob/ArchiflowWeb/images/indicator.gif">
          <a:extLst>
            <a:ext uri="{FF2B5EF4-FFF2-40B4-BE49-F238E27FC236}">
              <a16:creationId xmlns:a16="http://schemas.microsoft.com/office/drawing/2014/main" id="{00000000-0008-0000-0000-00004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24" name="Immagine 2123" descr="http://demaco.consob/ArchiflowWeb/images/indicator.gif">
          <a:extLst>
            <a:ext uri="{FF2B5EF4-FFF2-40B4-BE49-F238E27FC236}">
              <a16:creationId xmlns:a16="http://schemas.microsoft.com/office/drawing/2014/main" id="{00000000-0008-0000-0000-00004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25" name="Immagine 2124" descr="http://demaco.consob/ArchiflowWeb/images/indicator.gif">
          <a:extLst>
            <a:ext uri="{FF2B5EF4-FFF2-40B4-BE49-F238E27FC236}">
              <a16:creationId xmlns:a16="http://schemas.microsoft.com/office/drawing/2014/main" id="{00000000-0008-0000-0000-00004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26" name="Immagine 2125" descr="http://demaco.consob/ArchiflowWeb/images/indicator.gif">
          <a:extLst>
            <a:ext uri="{FF2B5EF4-FFF2-40B4-BE49-F238E27FC236}">
              <a16:creationId xmlns:a16="http://schemas.microsoft.com/office/drawing/2014/main" id="{00000000-0008-0000-0000-00004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27" name="Immagine 2126" descr="http://demaco.consob/ArchiflowWeb/images/indicator.gif">
          <a:extLst>
            <a:ext uri="{FF2B5EF4-FFF2-40B4-BE49-F238E27FC236}">
              <a16:creationId xmlns:a16="http://schemas.microsoft.com/office/drawing/2014/main" id="{00000000-0008-0000-0000-00004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28" name="Immagine 2127" descr="http://demaco.consob/ArchiflowWeb/images/indicator.gif">
          <a:extLst>
            <a:ext uri="{FF2B5EF4-FFF2-40B4-BE49-F238E27FC236}">
              <a16:creationId xmlns:a16="http://schemas.microsoft.com/office/drawing/2014/main" id="{00000000-0008-0000-0000-00004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29" name="Immagine 2128" descr="http://demaco.consob/ArchiflowWeb/images/indicator.gif">
          <a:extLst>
            <a:ext uri="{FF2B5EF4-FFF2-40B4-BE49-F238E27FC236}">
              <a16:creationId xmlns:a16="http://schemas.microsoft.com/office/drawing/2014/main" id="{00000000-0008-0000-0000-00004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30" name="Immagine 2129" descr="http://demaco.consob/ArchiflowWeb/images/indicator.gif">
          <a:extLst>
            <a:ext uri="{FF2B5EF4-FFF2-40B4-BE49-F238E27FC236}">
              <a16:creationId xmlns:a16="http://schemas.microsoft.com/office/drawing/2014/main" id="{00000000-0008-0000-0000-00004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1" name="Immagine 2130" descr="http://demaco.consob/ArchiflowWeb/images/indicator.gif">
          <a:extLst>
            <a:ext uri="{FF2B5EF4-FFF2-40B4-BE49-F238E27FC236}">
              <a16:creationId xmlns:a16="http://schemas.microsoft.com/office/drawing/2014/main" id="{00000000-0008-0000-0000-00004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32" name="Immagine 2131" descr="http://demaco.consob/ArchiflowWeb/images/indicator.gif">
          <a:extLst>
            <a:ext uri="{FF2B5EF4-FFF2-40B4-BE49-F238E27FC236}">
              <a16:creationId xmlns:a16="http://schemas.microsoft.com/office/drawing/2014/main" id="{00000000-0008-0000-0000-00004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3" name="Immagine 2132" descr="http://demaco.consob/ArchiflowWeb/images/indicator.gif">
          <a:extLst>
            <a:ext uri="{FF2B5EF4-FFF2-40B4-BE49-F238E27FC236}">
              <a16:creationId xmlns:a16="http://schemas.microsoft.com/office/drawing/2014/main" id="{00000000-0008-0000-0000-00004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34" name="Immagine 2133" descr="http://demaco.consob/ArchiflowWeb/images/indicator.gif">
          <a:extLst>
            <a:ext uri="{FF2B5EF4-FFF2-40B4-BE49-F238E27FC236}">
              <a16:creationId xmlns:a16="http://schemas.microsoft.com/office/drawing/2014/main" id="{00000000-0008-0000-0000-00004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5" name="Immagine 2134" descr="http://demaco.consob/ArchiflowWeb/images/indicator.gif">
          <a:extLst>
            <a:ext uri="{FF2B5EF4-FFF2-40B4-BE49-F238E27FC236}">
              <a16:creationId xmlns:a16="http://schemas.microsoft.com/office/drawing/2014/main" id="{00000000-0008-0000-0000-00005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6" name="Immagine 2135" descr="http://demaco.consob/ArchiflowWeb/images/indicator.gif">
          <a:extLst>
            <a:ext uri="{FF2B5EF4-FFF2-40B4-BE49-F238E27FC236}">
              <a16:creationId xmlns:a16="http://schemas.microsoft.com/office/drawing/2014/main" id="{00000000-0008-0000-0000-00005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7" name="Immagine 2136" descr="http://demaco.consob/ArchiflowWeb/images/indicator.gif">
          <a:extLst>
            <a:ext uri="{FF2B5EF4-FFF2-40B4-BE49-F238E27FC236}">
              <a16:creationId xmlns:a16="http://schemas.microsoft.com/office/drawing/2014/main" id="{00000000-0008-0000-0000-00005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8" name="Immagine 2137" descr="http://demaco.consob/ArchiflowWeb/images/indicator.gif">
          <a:extLst>
            <a:ext uri="{FF2B5EF4-FFF2-40B4-BE49-F238E27FC236}">
              <a16:creationId xmlns:a16="http://schemas.microsoft.com/office/drawing/2014/main" id="{00000000-0008-0000-0000-00005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39" name="Immagine 2138" descr="http://demaco.consob/ArchiflowWeb/images/indicator.gif">
          <a:extLst>
            <a:ext uri="{FF2B5EF4-FFF2-40B4-BE49-F238E27FC236}">
              <a16:creationId xmlns:a16="http://schemas.microsoft.com/office/drawing/2014/main" id="{00000000-0008-0000-0000-00005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0" name="Immagine 2139" descr="http://demaco.consob/ArchiflowWeb/images/indicator.gif">
          <a:extLst>
            <a:ext uri="{FF2B5EF4-FFF2-40B4-BE49-F238E27FC236}">
              <a16:creationId xmlns:a16="http://schemas.microsoft.com/office/drawing/2014/main" id="{00000000-0008-0000-0000-00005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1" name="Immagine 2140" descr="http://demaco.consob/ArchiflowWeb/images/indicator.gif">
          <a:extLst>
            <a:ext uri="{FF2B5EF4-FFF2-40B4-BE49-F238E27FC236}">
              <a16:creationId xmlns:a16="http://schemas.microsoft.com/office/drawing/2014/main" id="{00000000-0008-0000-0000-00005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2" name="Immagine 2141" descr="http://demaco.consob/ArchiflowWeb/images/indicator.gif">
          <a:extLst>
            <a:ext uri="{FF2B5EF4-FFF2-40B4-BE49-F238E27FC236}">
              <a16:creationId xmlns:a16="http://schemas.microsoft.com/office/drawing/2014/main" id="{00000000-0008-0000-0000-00005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3" name="Immagine 2142" descr="http://demaco.consob/ArchiflowWeb/images/indicator.gif">
          <a:extLst>
            <a:ext uri="{FF2B5EF4-FFF2-40B4-BE49-F238E27FC236}">
              <a16:creationId xmlns:a16="http://schemas.microsoft.com/office/drawing/2014/main" id="{00000000-0008-0000-0000-00005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4" name="Immagine 2143" descr="http://demaco.consob/ArchiflowWeb/images/indicator.gif">
          <a:extLst>
            <a:ext uri="{FF2B5EF4-FFF2-40B4-BE49-F238E27FC236}">
              <a16:creationId xmlns:a16="http://schemas.microsoft.com/office/drawing/2014/main" id="{00000000-0008-0000-0000-00005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5" name="Immagine 2144" descr="http://demaco.consob/ArchiflowWeb/images/indicator.gif">
          <a:extLst>
            <a:ext uri="{FF2B5EF4-FFF2-40B4-BE49-F238E27FC236}">
              <a16:creationId xmlns:a16="http://schemas.microsoft.com/office/drawing/2014/main" id="{00000000-0008-0000-0000-00005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6" name="Immagine 2145" descr="http://demaco.consob/ArchiflowWeb/images/indicator.gif">
          <a:extLst>
            <a:ext uri="{FF2B5EF4-FFF2-40B4-BE49-F238E27FC236}">
              <a16:creationId xmlns:a16="http://schemas.microsoft.com/office/drawing/2014/main" id="{00000000-0008-0000-0000-00005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7" name="Immagine 2146" descr="http://demaco.consob/ArchiflowWeb/images/indicator.gif">
          <a:extLst>
            <a:ext uri="{FF2B5EF4-FFF2-40B4-BE49-F238E27FC236}">
              <a16:creationId xmlns:a16="http://schemas.microsoft.com/office/drawing/2014/main" id="{00000000-0008-0000-0000-00005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8" name="Immagine 2147" descr="http://demaco.consob/ArchiflowWeb/images/indicator.gif">
          <a:extLst>
            <a:ext uri="{FF2B5EF4-FFF2-40B4-BE49-F238E27FC236}">
              <a16:creationId xmlns:a16="http://schemas.microsoft.com/office/drawing/2014/main" id="{00000000-0008-0000-0000-00005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49" name="Immagine 2148" descr="http://demaco.consob/ArchiflowWeb/images/indicator.gif">
          <a:extLst>
            <a:ext uri="{FF2B5EF4-FFF2-40B4-BE49-F238E27FC236}">
              <a16:creationId xmlns:a16="http://schemas.microsoft.com/office/drawing/2014/main" id="{00000000-0008-0000-0000-00005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0" name="Immagine 2149" descr="http://demaco.consob/ArchiflowWeb/images/indicator.gif">
          <a:extLst>
            <a:ext uri="{FF2B5EF4-FFF2-40B4-BE49-F238E27FC236}">
              <a16:creationId xmlns:a16="http://schemas.microsoft.com/office/drawing/2014/main" id="{00000000-0008-0000-0000-00005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1" name="Immagine 2150" descr="http://demaco.consob/ArchiflowWeb/images/indicator.gif">
          <a:extLst>
            <a:ext uri="{FF2B5EF4-FFF2-40B4-BE49-F238E27FC236}">
              <a16:creationId xmlns:a16="http://schemas.microsoft.com/office/drawing/2014/main" id="{00000000-0008-0000-0000-00006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2" name="Immagine 2151" descr="http://demaco.consob/ArchiflowWeb/images/indicator.gif">
          <a:extLst>
            <a:ext uri="{FF2B5EF4-FFF2-40B4-BE49-F238E27FC236}">
              <a16:creationId xmlns:a16="http://schemas.microsoft.com/office/drawing/2014/main" id="{00000000-0008-0000-0000-00006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3" name="Immagine 2152" descr="http://demaco.consob/ArchiflowWeb/images/indicator.gif">
          <a:extLst>
            <a:ext uri="{FF2B5EF4-FFF2-40B4-BE49-F238E27FC236}">
              <a16:creationId xmlns:a16="http://schemas.microsoft.com/office/drawing/2014/main" id="{00000000-0008-0000-0000-00006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54" name="Immagine 2153" descr="http://demaco.consob/ArchiflowWeb/images/indicator.gif">
          <a:extLst>
            <a:ext uri="{FF2B5EF4-FFF2-40B4-BE49-F238E27FC236}">
              <a16:creationId xmlns:a16="http://schemas.microsoft.com/office/drawing/2014/main" id="{00000000-0008-0000-0000-00006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5" name="Immagine 2154" descr="http://demaco.consob/ArchiflowWeb/images/indicator.gif">
          <a:extLst>
            <a:ext uri="{FF2B5EF4-FFF2-40B4-BE49-F238E27FC236}">
              <a16:creationId xmlns:a16="http://schemas.microsoft.com/office/drawing/2014/main" id="{00000000-0008-0000-0000-00006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56" name="Immagine 2155" descr="http://demaco.consob/ArchiflowWeb/images/indicator.gif">
          <a:extLst>
            <a:ext uri="{FF2B5EF4-FFF2-40B4-BE49-F238E27FC236}">
              <a16:creationId xmlns:a16="http://schemas.microsoft.com/office/drawing/2014/main" id="{00000000-0008-0000-0000-00006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7" name="Immagine 2156" descr="http://demaco.consob/ArchiflowWeb/images/indicator.gif">
          <a:extLst>
            <a:ext uri="{FF2B5EF4-FFF2-40B4-BE49-F238E27FC236}">
              <a16:creationId xmlns:a16="http://schemas.microsoft.com/office/drawing/2014/main" id="{00000000-0008-0000-0000-00006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58" name="Immagine 2157" descr="http://demaco.consob/ArchiflowWeb/images/indicator.gif">
          <a:extLst>
            <a:ext uri="{FF2B5EF4-FFF2-40B4-BE49-F238E27FC236}">
              <a16:creationId xmlns:a16="http://schemas.microsoft.com/office/drawing/2014/main" id="{00000000-0008-0000-0000-00006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59" name="Immagine 2158" descr="http://demaco.consob/ArchiflowWeb/images/indicator.gif">
          <a:extLst>
            <a:ext uri="{FF2B5EF4-FFF2-40B4-BE49-F238E27FC236}">
              <a16:creationId xmlns:a16="http://schemas.microsoft.com/office/drawing/2014/main" id="{00000000-0008-0000-0000-00006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60" name="Immagine 2159" descr="http://demaco.consob/ArchiflowWeb/images/indicator.gif">
          <a:extLst>
            <a:ext uri="{FF2B5EF4-FFF2-40B4-BE49-F238E27FC236}">
              <a16:creationId xmlns:a16="http://schemas.microsoft.com/office/drawing/2014/main" id="{00000000-0008-0000-0000-00006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61" name="Immagine 2160" descr="http://demaco.consob/ArchiflowWeb/images/indicator.gif">
          <a:extLst>
            <a:ext uri="{FF2B5EF4-FFF2-40B4-BE49-F238E27FC236}">
              <a16:creationId xmlns:a16="http://schemas.microsoft.com/office/drawing/2014/main" id="{00000000-0008-0000-0000-00006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62" name="Immagine 2161" descr="http://demaco.consob/ArchiflowWeb/images/indicator.gif">
          <a:extLst>
            <a:ext uri="{FF2B5EF4-FFF2-40B4-BE49-F238E27FC236}">
              <a16:creationId xmlns:a16="http://schemas.microsoft.com/office/drawing/2014/main" id="{00000000-0008-0000-0000-00006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63" name="Immagine 2162" descr="http://demaco.consob/ArchiflowWeb/images/indicator.gif">
          <a:extLst>
            <a:ext uri="{FF2B5EF4-FFF2-40B4-BE49-F238E27FC236}">
              <a16:creationId xmlns:a16="http://schemas.microsoft.com/office/drawing/2014/main" id="{00000000-0008-0000-0000-00006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64" name="Immagine 2163" descr="http://demaco.consob/ArchiflowWeb/images/indicator.gif">
          <a:extLst>
            <a:ext uri="{FF2B5EF4-FFF2-40B4-BE49-F238E27FC236}">
              <a16:creationId xmlns:a16="http://schemas.microsoft.com/office/drawing/2014/main" id="{00000000-0008-0000-0000-00006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65" name="Immagine 2164" descr="http://demaco.consob/ArchiflowWeb/images/indicator.gif">
          <a:extLst>
            <a:ext uri="{FF2B5EF4-FFF2-40B4-BE49-F238E27FC236}">
              <a16:creationId xmlns:a16="http://schemas.microsoft.com/office/drawing/2014/main" id="{00000000-0008-0000-0000-00006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66" name="Immagine 2165" descr="http://demaco.consob/ArchiflowWeb/images/indicator.gif">
          <a:extLst>
            <a:ext uri="{FF2B5EF4-FFF2-40B4-BE49-F238E27FC236}">
              <a16:creationId xmlns:a16="http://schemas.microsoft.com/office/drawing/2014/main" id="{00000000-0008-0000-0000-00006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67" name="Immagine 2166" descr="http://demaco.consob/ArchiflowWeb/images/indicator.gif">
          <a:extLst>
            <a:ext uri="{FF2B5EF4-FFF2-40B4-BE49-F238E27FC236}">
              <a16:creationId xmlns:a16="http://schemas.microsoft.com/office/drawing/2014/main" id="{00000000-0008-0000-0000-00007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68" name="Immagine 2167" descr="http://demaco.consob/ArchiflowWeb/images/indicator.gif">
          <a:extLst>
            <a:ext uri="{FF2B5EF4-FFF2-40B4-BE49-F238E27FC236}">
              <a16:creationId xmlns:a16="http://schemas.microsoft.com/office/drawing/2014/main" id="{00000000-0008-0000-0000-00007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69" name="Immagine 2168" descr="http://demaco.consob/ArchiflowWeb/images/indicator.gif">
          <a:extLst>
            <a:ext uri="{FF2B5EF4-FFF2-40B4-BE49-F238E27FC236}">
              <a16:creationId xmlns:a16="http://schemas.microsoft.com/office/drawing/2014/main" id="{00000000-0008-0000-0000-00007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70" name="Immagine 2169" descr="http://demaco.consob/ArchiflowWeb/images/indicator.gif">
          <a:extLst>
            <a:ext uri="{FF2B5EF4-FFF2-40B4-BE49-F238E27FC236}">
              <a16:creationId xmlns:a16="http://schemas.microsoft.com/office/drawing/2014/main" id="{00000000-0008-0000-0000-00007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71" name="Immagine 2170" descr="http://demaco.consob/ArchiflowWeb/images/indicator.gif">
          <a:extLst>
            <a:ext uri="{FF2B5EF4-FFF2-40B4-BE49-F238E27FC236}">
              <a16:creationId xmlns:a16="http://schemas.microsoft.com/office/drawing/2014/main" id="{00000000-0008-0000-0000-00007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72" name="Immagine 2171" descr="http://demaco.consob/ArchiflowWeb/images/indicator.gif">
          <a:extLst>
            <a:ext uri="{FF2B5EF4-FFF2-40B4-BE49-F238E27FC236}">
              <a16:creationId xmlns:a16="http://schemas.microsoft.com/office/drawing/2014/main" id="{00000000-0008-0000-0000-00007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73" name="Immagine 2172" descr="http://demaco.consob/ArchiflowWeb/images/indicator.gif">
          <a:extLst>
            <a:ext uri="{FF2B5EF4-FFF2-40B4-BE49-F238E27FC236}">
              <a16:creationId xmlns:a16="http://schemas.microsoft.com/office/drawing/2014/main" id="{00000000-0008-0000-0000-00007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74" name="Immagine 2173" descr="http://demaco.consob/ArchiflowWeb/images/indicator.gif">
          <a:extLst>
            <a:ext uri="{FF2B5EF4-FFF2-40B4-BE49-F238E27FC236}">
              <a16:creationId xmlns:a16="http://schemas.microsoft.com/office/drawing/2014/main" id="{00000000-0008-0000-0000-00007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75" name="Immagine 2174" descr="http://demaco.consob/ArchiflowWeb/images/indicator.gif">
          <a:extLst>
            <a:ext uri="{FF2B5EF4-FFF2-40B4-BE49-F238E27FC236}">
              <a16:creationId xmlns:a16="http://schemas.microsoft.com/office/drawing/2014/main" id="{00000000-0008-0000-0000-00007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76" name="Immagine 2175" descr="http://demaco.consob/ArchiflowWeb/images/indicator.gif">
          <a:extLst>
            <a:ext uri="{FF2B5EF4-FFF2-40B4-BE49-F238E27FC236}">
              <a16:creationId xmlns:a16="http://schemas.microsoft.com/office/drawing/2014/main" id="{00000000-0008-0000-0000-00007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77" name="Immagine 2176" descr="http://demaco.consob/ArchiflowWeb/images/indicator.gif">
          <a:extLst>
            <a:ext uri="{FF2B5EF4-FFF2-40B4-BE49-F238E27FC236}">
              <a16:creationId xmlns:a16="http://schemas.microsoft.com/office/drawing/2014/main" id="{00000000-0008-0000-0000-00007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78" name="Immagine 2177" descr="http://demaco.consob/ArchiflowWeb/images/indicator.gif">
          <a:extLst>
            <a:ext uri="{FF2B5EF4-FFF2-40B4-BE49-F238E27FC236}">
              <a16:creationId xmlns:a16="http://schemas.microsoft.com/office/drawing/2014/main" id="{00000000-0008-0000-0000-00007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79" name="Immagine 2178" descr="http://demaco.consob/ArchiflowWeb/images/indicator.gif">
          <a:extLst>
            <a:ext uri="{FF2B5EF4-FFF2-40B4-BE49-F238E27FC236}">
              <a16:creationId xmlns:a16="http://schemas.microsoft.com/office/drawing/2014/main" id="{00000000-0008-0000-0000-00007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80" name="Immagine 2179" descr="http://demaco.consob/ArchiflowWeb/images/indicator.gif">
          <a:extLst>
            <a:ext uri="{FF2B5EF4-FFF2-40B4-BE49-F238E27FC236}">
              <a16:creationId xmlns:a16="http://schemas.microsoft.com/office/drawing/2014/main" id="{00000000-0008-0000-0000-00007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81" name="Immagine 2180" descr="http://demaco.consob/ArchiflowWeb/images/indicator.gif">
          <a:extLst>
            <a:ext uri="{FF2B5EF4-FFF2-40B4-BE49-F238E27FC236}">
              <a16:creationId xmlns:a16="http://schemas.microsoft.com/office/drawing/2014/main" id="{00000000-0008-0000-0000-00007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82" name="Immagine 2181" descr="http://demaco.consob/ArchiflowWeb/images/indicator.gif">
          <a:extLst>
            <a:ext uri="{FF2B5EF4-FFF2-40B4-BE49-F238E27FC236}">
              <a16:creationId xmlns:a16="http://schemas.microsoft.com/office/drawing/2014/main" id="{00000000-0008-0000-0000-00007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83" name="Immagine 2182" descr="http://demaco.consob/ArchiflowWeb/images/indicator.gif">
          <a:extLst>
            <a:ext uri="{FF2B5EF4-FFF2-40B4-BE49-F238E27FC236}">
              <a16:creationId xmlns:a16="http://schemas.microsoft.com/office/drawing/2014/main" id="{00000000-0008-0000-0000-00008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84" name="Immagine 2183" descr="http://demaco.consob/ArchiflowWeb/images/indicator.gif">
          <a:extLst>
            <a:ext uri="{FF2B5EF4-FFF2-40B4-BE49-F238E27FC236}">
              <a16:creationId xmlns:a16="http://schemas.microsoft.com/office/drawing/2014/main" id="{00000000-0008-0000-0000-00008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85" name="Immagine 2184" descr="http://demaco.consob/ArchiflowWeb/images/indicator.gif">
          <a:extLst>
            <a:ext uri="{FF2B5EF4-FFF2-40B4-BE49-F238E27FC236}">
              <a16:creationId xmlns:a16="http://schemas.microsoft.com/office/drawing/2014/main" id="{00000000-0008-0000-0000-00008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86" name="Immagine 2185" descr="http://demaco.consob/ArchiflowWeb/images/indicator.gif">
          <a:extLst>
            <a:ext uri="{FF2B5EF4-FFF2-40B4-BE49-F238E27FC236}">
              <a16:creationId xmlns:a16="http://schemas.microsoft.com/office/drawing/2014/main" id="{00000000-0008-0000-0000-00008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87" name="Immagine 2186" descr="http://demaco.consob/ArchiflowWeb/images/indicator.gif">
          <a:extLst>
            <a:ext uri="{FF2B5EF4-FFF2-40B4-BE49-F238E27FC236}">
              <a16:creationId xmlns:a16="http://schemas.microsoft.com/office/drawing/2014/main" id="{00000000-0008-0000-0000-00008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188" name="Immagine 2187" descr="http://demaco.consob/ArchiflowWeb/images/indicator.gif">
          <a:extLst>
            <a:ext uri="{FF2B5EF4-FFF2-40B4-BE49-F238E27FC236}">
              <a16:creationId xmlns:a16="http://schemas.microsoft.com/office/drawing/2014/main" id="{00000000-0008-0000-0000-00008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89" name="Immagine 2188" descr="http://demaco.consob/ArchiflowWeb/images/indicator.gif">
          <a:extLst>
            <a:ext uri="{FF2B5EF4-FFF2-40B4-BE49-F238E27FC236}">
              <a16:creationId xmlns:a16="http://schemas.microsoft.com/office/drawing/2014/main" id="{00000000-0008-0000-0000-00008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0" name="Immagine 2189" descr="http://demaco.consob/ArchiflowWeb/images/indicator.gif">
          <a:extLst>
            <a:ext uri="{FF2B5EF4-FFF2-40B4-BE49-F238E27FC236}">
              <a16:creationId xmlns:a16="http://schemas.microsoft.com/office/drawing/2014/main" id="{00000000-0008-0000-0000-00008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1" name="Immagine 2190" descr="http://demaco.consob/ArchiflowWeb/images/indicator.gif">
          <a:extLst>
            <a:ext uri="{FF2B5EF4-FFF2-40B4-BE49-F238E27FC236}">
              <a16:creationId xmlns:a16="http://schemas.microsoft.com/office/drawing/2014/main" id="{00000000-0008-0000-0000-00008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2" name="Immagine 2191" descr="http://demaco.consob/ArchiflowWeb/images/indicator.gif">
          <a:extLst>
            <a:ext uri="{FF2B5EF4-FFF2-40B4-BE49-F238E27FC236}">
              <a16:creationId xmlns:a16="http://schemas.microsoft.com/office/drawing/2014/main" id="{00000000-0008-0000-0000-00008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3" name="Immagine 2192" descr="http://demaco.consob/ArchiflowWeb/images/indicator.gif">
          <a:extLst>
            <a:ext uri="{FF2B5EF4-FFF2-40B4-BE49-F238E27FC236}">
              <a16:creationId xmlns:a16="http://schemas.microsoft.com/office/drawing/2014/main" id="{00000000-0008-0000-0000-00008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4" name="Immagine 2193" descr="http://demaco.consob/ArchiflowWeb/images/indicator.gif">
          <a:extLst>
            <a:ext uri="{FF2B5EF4-FFF2-40B4-BE49-F238E27FC236}">
              <a16:creationId xmlns:a16="http://schemas.microsoft.com/office/drawing/2014/main" id="{00000000-0008-0000-0000-00008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5" name="Immagine 2194" descr="http://demaco.consob/ArchiflowWeb/images/indicator.gif">
          <a:extLst>
            <a:ext uri="{FF2B5EF4-FFF2-40B4-BE49-F238E27FC236}">
              <a16:creationId xmlns:a16="http://schemas.microsoft.com/office/drawing/2014/main" id="{00000000-0008-0000-0000-00008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6" name="Immagine 2195" descr="http://demaco.consob/ArchiflowWeb/images/indicator.gif">
          <a:extLst>
            <a:ext uri="{FF2B5EF4-FFF2-40B4-BE49-F238E27FC236}">
              <a16:creationId xmlns:a16="http://schemas.microsoft.com/office/drawing/2014/main" id="{00000000-0008-0000-0000-00008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7" name="Immagine 2196" descr="http://demaco.consob/ArchiflowWeb/images/indicator.gif">
          <a:extLst>
            <a:ext uri="{FF2B5EF4-FFF2-40B4-BE49-F238E27FC236}">
              <a16:creationId xmlns:a16="http://schemas.microsoft.com/office/drawing/2014/main" id="{00000000-0008-0000-0000-00008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8" name="Immagine 2197" descr="http://demaco.consob/ArchiflowWeb/images/indicator.gif">
          <a:extLst>
            <a:ext uri="{FF2B5EF4-FFF2-40B4-BE49-F238E27FC236}">
              <a16:creationId xmlns:a16="http://schemas.microsoft.com/office/drawing/2014/main" id="{00000000-0008-0000-0000-00008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199" name="Immagine 2198" descr="http://demaco.consob/ArchiflowWeb/images/indicator.gif">
          <a:extLst>
            <a:ext uri="{FF2B5EF4-FFF2-40B4-BE49-F238E27FC236}">
              <a16:creationId xmlns:a16="http://schemas.microsoft.com/office/drawing/2014/main" id="{00000000-0008-0000-0000-00009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0" name="Immagine 2199" descr="http://demaco.consob/ArchiflowWeb/images/indicator.gif">
          <a:extLst>
            <a:ext uri="{FF2B5EF4-FFF2-40B4-BE49-F238E27FC236}">
              <a16:creationId xmlns:a16="http://schemas.microsoft.com/office/drawing/2014/main" id="{00000000-0008-0000-0000-00009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1" name="Immagine 2200" descr="http://demaco.consob/ArchiflowWeb/images/indicator.gif">
          <a:extLst>
            <a:ext uri="{FF2B5EF4-FFF2-40B4-BE49-F238E27FC236}">
              <a16:creationId xmlns:a16="http://schemas.microsoft.com/office/drawing/2014/main" id="{00000000-0008-0000-0000-00009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2" name="Immagine 2201" descr="http://demaco.consob/ArchiflowWeb/images/indicator.gif">
          <a:extLst>
            <a:ext uri="{FF2B5EF4-FFF2-40B4-BE49-F238E27FC236}">
              <a16:creationId xmlns:a16="http://schemas.microsoft.com/office/drawing/2014/main" id="{00000000-0008-0000-0000-00009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3" name="Immagine 2202" descr="http://demaco.consob/ArchiflowWeb/images/indicator.gif">
          <a:extLst>
            <a:ext uri="{FF2B5EF4-FFF2-40B4-BE49-F238E27FC236}">
              <a16:creationId xmlns:a16="http://schemas.microsoft.com/office/drawing/2014/main" id="{00000000-0008-0000-0000-00009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4" name="Immagine 2203" descr="http://demaco.consob/ArchiflowWeb/images/indicator.gif">
          <a:extLst>
            <a:ext uri="{FF2B5EF4-FFF2-40B4-BE49-F238E27FC236}">
              <a16:creationId xmlns:a16="http://schemas.microsoft.com/office/drawing/2014/main" id="{00000000-0008-0000-0000-00009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5" name="Immagine 2204" descr="http://demaco.consob/ArchiflowWeb/images/indicator.gif">
          <a:extLst>
            <a:ext uri="{FF2B5EF4-FFF2-40B4-BE49-F238E27FC236}">
              <a16:creationId xmlns:a16="http://schemas.microsoft.com/office/drawing/2014/main" id="{00000000-0008-0000-0000-00009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6" name="Immagine 2205" descr="http://demaco.consob/ArchiflowWeb/images/indicator.gif">
          <a:extLst>
            <a:ext uri="{FF2B5EF4-FFF2-40B4-BE49-F238E27FC236}">
              <a16:creationId xmlns:a16="http://schemas.microsoft.com/office/drawing/2014/main" id="{00000000-0008-0000-0000-00009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7" name="Immagine 2206" descr="http://demaco.consob/ArchiflowWeb/images/indicator.gif">
          <a:extLst>
            <a:ext uri="{FF2B5EF4-FFF2-40B4-BE49-F238E27FC236}">
              <a16:creationId xmlns:a16="http://schemas.microsoft.com/office/drawing/2014/main" id="{00000000-0008-0000-0000-00009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08" name="Immagine 2207" descr="http://demaco.consob/ArchiflowWeb/images/indicator.gif">
          <a:extLst>
            <a:ext uri="{FF2B5EF4-FFF2-40B4-BE49-F238E27FC236}">
              <a16:creationId xmlns:a16="http://schemas.microsoft.com/office/drawing/2014/main" id="{00000000-0008-0000-0000-00009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09" name="Immagine 2208" descr="http://demaco.consob/ArchiflowWeb/images/indicator.gif">
          <a:extLst>
            <a:ext uri="{FF2B5EF4-FFF2-40B4-BE49-F238E27FC236}">
              <a16:creationId xmlns:a16="http://schemas.microsoft.com/office/drawing/2014/main" id="{00000000-0008-0000-0000-00009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10" name="Immagine 2209" descr="http://demaco.consob/ArchiflowWeb/images/indicator.gif">
          <a:extLst>
            <a:ext uri="{FF2B5EF4-FFF2-40B4-BE49-F238E27FC236}">
              <a16:creationId xmlns:a16="http://schemas.microsoft.com/office/drawing/2014/main" id="{00000000-0008-0000-0000-00009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11" name="Immagine 2210" descr="http://demaco.consob/ArchiflowWeb/images/indicator.gif">
          <a:extLst>
            <a:ext uri="{FF2B5EF4-FFF2-40B4-BE49-F238E27FC236}">
              <a16:creationId xmlns:a16="http://schemas.microsoft.com/office/drawing/2014/main" id="{00000000-0008-0000-0000-00009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12" name="Immagine 2211" descr="http://demaco.consob/ArchiflowWeb/images/indicator.gif">
          <a:extLst>
            <a:ext uri="{FF2B5EF4-FFF2-40B4-BE49-F238E27FC236}">
              <a16:creationId xmlns:a16="http://schemas.microsoft.com/office/drawing/2014/main" id="{00000000-0008-0000-0000-00009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13" name="Immagine 2212" descr="http://demaco.consob/ArchiflowWeb/images/indicator.gif">
          <a:extLst>
            <a:ext uri="{FF2B5EF4-FFF2-40B4-BE49-F238E27FC236}">
              <a16:creationId xmlns:a16="http://schemas.microsoft.com/office/drawing/2014/main" id="{00000000-0008-0000-0000-00009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14" name="Immagine 2213" descr="http://demaco.consob/ArchiflowWeb/images/indicator.gif">
          <a:extLst>
            <a:ext uri="{FF2B5EF4-FFF2-40B4-BE49-F238E27FC236}">
              <a16:creationId xmlns:a16="http://schemas.microsoft.com/office/drawing/2014/main" id="{00000000-0008-0000-0000-00009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15" name="Immagine 2214" descr="http://demaco.consob/ArchiflowWeb/images/indicator.gif">
          <a:extLst>
            <a:ext uri="{FF2B5EF4-FFF2-40B4-BE49-F238E27FC236}">
              <a16:creationId xmlns:a16="http://schemas.microsoft.com/office/drawing/2014/main" id="{00000000-0008-0000-0000-0000A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16" name="Immagine 2215" descr="http://demaco.consob/ArchiflowWeb/images/indicator.gif">
          <a:extLst>
            <a:ext uri="{FF2B5EF4-FFF2-40B4-BE49-F238E27FC236}">
              <a16:creationId xmlns:a16="http://schemas.microsoft.com/office/drawing/2014/main" id="{00000000-0008-0000-0000-0000A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17" name="Immagine 2216" descr="http://demaco.consob/ArchiflowWeb/images/indicator.gif">
          <a:extLst>
            <a:ext uri="{FF2B5EF4-FFF2-40B4-BE49-F238E27FC236}">
              <a16:creationId xmlns:a16="http://schemas.microsoft.com/office/drawing/2014/main" id="{00000000-0008-0000-0000-0000A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18" name="Immagine 2217" descr="http://demaco.consob/ArchiflowWeb/images/indicator.gif">
          <a:extLst>
            <a:ext uri="{FF2B5EF4-FFF2-40B4-BE49-F238E27FC236}">
              <a16:creationId xmlns:a16="http://schemas.microsoft.com/office/drawing/2014/main" id="{00000000-0008-0000-0000-0000A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19" name="Immagine 2218" descr="http://demaco.consob/ArchiflowWeb/images/indicator.gif">
          <a:extLst>
            <a:ext uri="{FF2B5EF4-FFF2-40B4-BE49-F238E27FC236}">
              <a16:creationId xmlns:a16="http://schemas.microsoft.com/office/drawing/2014/main" id="{00000000-0008-0000-0000-0000A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20" name="Immagine 2219" descr="http://demaco.consob/ArchiflowWeb/images/indicator.gif">
          <a:extLst>
            <a:ext uri="{FF2B5EF4-FFF2-40B4-BE49-F238E27FC236}">
              <a16:creationId xmlns:a16="http://schemas.microsoft.com/office/drawing/2014/main" id="{00000000-0008-0000-0000-0000A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21" name="Immagine 2220" descr="http://demaco.consob/ArchiflowWeb/images/indicator.gif">
          <a:extLst>
            <a:ext uri="{FF2B5EF4-FFF2-40B4-BE49-F238E27FC236}">
              <a16:creationId xmlns:a16="http://schemas.microsoft.com/office/drawing/2014/main" id="{00000000-0008-0000-0000-0000A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22" name="Immagine 2221" descr="http://demaco.consob/ArchiflowWeb/images/indicator.gif">
          <a:extLst>
            <a:ext uri="{FF2B5EF4-FFF2-40B4-BE49-F238E27FC236}">
              <a16:creationId xmlns:a16="http://schemas.microsoft.com/office/drawing/2014/main" id="{00000000-0008-0000-0000-0000A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23" name="Immagine 2222" descr="http://demaco.consob/ArchiflowWeb/images/indicator.gif">
          <a:extLst>
            <a:ext uri="{FF2B5EF4-FFF2-40B4-BE49-F238E27FC236}">
              <a16:creationId xmlns:a16="http://schemas.microsoft.com/office/drawing/2014/main" id="{00000000-0008-0000-0000-0000A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24" name="Immagine 2223" descr="http://demaco.consob/ArchiflowWeb/images/indicator.gif">
          <a:extLst>
            <a:ext uri="{FF2B5EF4-FFF2-40B4-BE49-F238E27FC236}">
              <a16:creationId xmlns:a16="http://schemas.microsoft.com/office/drawing/2014/main" id="{00000000-0008-0000-0000-0000A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25" name="Immagine 2224" descr="http://demaco.consob/ArchiflowWeb/images/indicator.gif">
          <a:extLst>
            <a:ext uri="{FF2B5EF4-FFF2-40B4-BE49-F238E27FC236}">
              <a16:creationId xmlns:a16="http://schemas.microsoft.com/office/drawing/2014/main" id="{00000000-0008-0000-0000-0000A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26" name="Immagine 2225" descr="http://demaco.consob/ArchiflowWeb/images/indicator.gif">
          <a:extLst>
            <a:ext uri="{FF2B5EF4-FFF2-40B4-BE49-F238E27FC236}">
              <a16:creationId xmlns:a16="http://schemas.microsoft.com/office/drawing/2014/main" id="{00000000-0008-0000-0000-0000A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27" name="Immagine 2226" descr="http://demaco.consob/ArchiflowWeb/images/indicator.gif">
          <a:extLst>
            <a:ext uri="{FF2B5EF4-FFF2-40B4-BE49-F238E27FC236}">
              <a16:creationId xmlns:a16="http://schemas.microsoft.com/office/drawing/2014/main" id="{00000000-0008-0000-0000-0000A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28" name="Immagine 2227" descr="http://demaco.consob/ArchiflowWeb/images/indicator.gif">
          <a:extLst>
            <a:ext uri="{FF2B5EF4-FFF2-40B4-BE49-F238E27FC236}">
              <a16:creationId xmlns:a16="http://schemas.microsoft.com/office/drawing/2014/main" id="{00000000-0008-0000-0000-0000A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29" name="Immagine 2228" descr="http://demaco.consob/ArchiflowWeb/images/indicator.gif">
          <a:extLst>
            <a:ext uri="{FF2B5EF4-FFF2-40B4-BE49-F238E27FC236}">
              <a16:creationId xmlns:a16="http://schemas.microsoft.com/office/drawing/2014/main" id="{00000000-0008-0000-0000-0000A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30" name="Immagine 2229" descr="http://demaco.consob/ArchiflowWeb/images/indicator.gif">
          <a:extLst>
            <a:ext uri="{FF2B5EF4-FFF2-40B4-BE49-F238E27FC236}">
              <a16:creationId xmlns:a16="http://schemas.microsoft.com/office/drawing/2014/main" id="{00000000-0008-0000-0000-0000A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31" name="Immagine 2230" descr="http://demaco.consob/ArchiflowWeb/images/indicator.gif">
          <a:extLst>
            <a:ext uri="{FF2B5EF4-FFF2-40B4-BE49-F238E27FC236}">
              <a16:creationId xmlns:a16="http://schemas.microsoft.com/office/drawing/2014/main" id="{00000000-0008-0000-0000-0000B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32" name="Immagine 2231" descr="http://demaco.consob/ArchiflowWeb/images/indicator.gif">
          <a:extLst>
            <a:ext uri="{FF2B5EF4-FFF2-40B4-BE49-F238E27FC236}">
              <a16:creationId xmlns:a16="http://schemas.microsoft.com/office/drawing/2014/main" id="{00000000-0008-0000-0000-0000B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33" name="Immagine 2232" descr="http://demaco.consob/ArchiflowWeb/images/indicator.gif">
          <a:extLst>
            <a:ext uri="{FF2B5EF4-FFF2-40B4-BE49-F238E27FC236}">
              <a16:creationId xmlns:a16="http://schemas.microsoft.com/office/drawing/2014/main" id="{00000000-0008-0000-0000-0000B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34" name="Immagine 2233" descr="http://demaco.consob/ArchiflowWeb/images/indicator.gif">
          <a:extLst>
            <a:ext uri="{FF2B5EF4-FFF2-40B4-BE49-F238E27FC236}">
              <a16:creationId xmlns:a16="http://schemas.microsoft.com/office/drawing/2014/main" id="{00000000-0008-0000-0000-0000B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35" name="Immagine 2234" descr="http://demaco.consob/ArchiflowWeb/images/indicator.gif">
          <a:extLst>
            <a:ext uri="{FF2B5EF4-FFF2-40B4-BE49-F238E27FC236}">
              <a16:creationId xmlns:a16="http://schemas.microsoft.com/office/drawing/2014/main" id="{00000000-0008-0000-0000-0000B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36" name="Immagine 2235" descr="http://demaco.consob/ArchiflowWeb/images/indicator.gif">
          <a:extLst>
            <a:ext uri="{FF2B5EF4-FFF2-40B4-BE49-F238E27FC236}">
              <a16:creationId xmlns:a16="http://schemas.microsoft.com/office/drawing/2014/main" id="{00000000-0008-0000-0000-0000B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37" name="Immagine 2236" descr="http://demaco.consob/ArchiflowWeb/images/indicator.gif">
          <a:extLst>
            <a:ext uri="{FF2B5EF4-FFF2-40B4-BE49-F238E27FC236}">
              <a16:creationId xmlns:a16="http://schemas.microsoft.com/office/drawing/2014/main" id="{00000000-0008-0000-0000-0000B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38" name="Immagine 2237" descr="http://demaco.consob/ArchiflowWeb/images/indicator.gif">
          <a:extLst>
            <a:ext uri="{FF2B5EF4-FFF2-40B4-BE49-F238E27FC236}">
              <a16:creationId xmlns:a16="http://schemas.microsoft.com/office/drawing/2014/main" id="{00000000-0008-0000-0000-0000B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39" name="Immagine 2238" descr="http://demaco.consob/ArchiflowWeb/images/indicator.gif">
          <a:extLst>
            <a:ext uri="{FF2B5EF4-FFF2-40B4-BE49-F238E27FC236}">
              <a16:creationId xmlns:a16="http://schemas.microsoft.com/office/drawing/2014/main" id="{00000000-0008-0000-0000-0000B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40" name="Immagine 2239" descr="http://demaco.consob/ArchiflowWeb/images/indicator.gif">
          <a:extLst>
            <a:ext uri="{FF2B5EF4-FFF2-40B4-BE49-F238E27FC236}">
              <a16:creationId xmlns:a16="http://schemas.microsoft.com/office/drawing/2014/main" id="{00000000-0008-0000-0000-0000B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41" name="Immagine 2240" descr="http://demaco.consob/ArchiflowWeb/images/indicator.gif">
          <a:extLst>
            <a:ext uri="{FF2B5EF4-FFF2-40B4-BE49-F238E27FC236}">
              <a16:creationId xmlns:a16="http://schemas.microsoft.com/office/drawing/2014/main" id="{00000000-0008-0000-0000-0000B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42" name="Immagine 2241" descr="http://demaco.consob/ArchiflowWeb/images/indicator.gif">
          <a:extLst>
            <a:ext uri="{FF2B5EF4-FFF2-40B4-BE49-F238E27FC236}">
              <a16:creationId xmlns:a16="http://schemas.microsoft.com/office/drawing/2014/main" id="{00000000-0008-0000-0000-0000B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43" name="Immagine 2242" descr="http://demaco.consob/ArchiflowWeb/images/indicator.gif">
          <a:extLst>
            <a:ext uri="{FF2B5EF4-FFF2-40B4-BE49-F238E27FC236}">
              <a16:creationId xmlns:a16="http://schemas.microsoft.com/office/drawing/2014/main" id="{00000000-0008-0000-0000-0000B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44" name="Immagine 2243" descr="http://demaco.consob/ArchiflowWeb/images/indicator.gif">
          <a:extLst>
            <a:ext uri="{FF2B5EF4-FFF2-40B4-BE49-F238E27FC236}">
              <a16:creationId xmlns:a16="http://schemas.microsoft.com/office/drawing/2014/main" id="{00000000-0008-0000-0000-0000B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45" name="Immagine 2244" descr="http://demaco.consob/ArchiflowWeb/images/indicator.gif">
          <a:extLst>
            <a:ext uri="{FF2B5EF4-FFF2-40B4-BE49-F238E27FC236}">
              <a16:creationId xmlns:a16="http://schemas.microsoft.com/office/drawing/2014/main" id="{00000000-0008-0000-0000-0000B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46" name="Immagine 2245" descr="http://demaco.consob/ArchiflowWeb/images/indicator.gif">
          <a:extLst>
            <a:ext uri="{FF2B5EF4-FFF2-40B4-BE49-F238E27FC236}">
              <a16:creationId xmlns:a16="http://schemas.microsoft.com/office/drawing/2014/main" id="{00000000-0008-0000-0000-0000B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47" name="Immagine 2246" descr="http://demaco.consob/ArchiflowWeb/images/indicator.gif">
          <a:extLst>
            <a:ext uri="{FF2B5EF4-FFF2-40B4-BE49-F238E27FC236}">
              <a16:creationId xmlns:a16="http://schemas.microsoft.com/office/drawing/2014/main" id="{00000000-0008-0000-0000-0000C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48" name="Immagine 2247" descr="http://demaco.consob/ArchiflowWeb/images/indicator.gif">
          <a:extLst>
            <a:ext uri="{FF2B5EF4-FFF2-40B4-BE49-F238E27FC236}">
              <a16:creationId xmlns:a16="http://schemas.microsoft.com/office/drawing/2014/main" id="{00000000-0008-0000-0000-0000C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49" name="Immagine 2248" descr="http://demaco.consob/ArchiflowWeb/images/indicator.gif">
          <a:extLst>
            <a:ext uri="{FF2B5EF4-FFF2-40B4-BE49-F238E27FC236}">
              <a16:creationId xmlns:a16="http://schemas.microsoft.com/office/drawing/2014/main" id="{00000000-0008-0000-0000-0000C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50" name="Immagine 2249" descr="http://demaco.consob/ArchiflowWeb/images/indicator.gif">
          <a:extLst>
            <a:ext uri="{FF2B5EF4-FFF2-40B4-BE49-F238E27FC236}">
              <a16:creationId xmlns:a16="http://schemas.microsoft.com/office/drawing/2014/main" id="{00000000-0008-0000-0000-0000C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51" name="Immagine 2250" descr="http://demaco.consob/ArchiflowWeb/images/indicator.gif">
          <a:extLst>
            <a:ext uri="{FF2B5EF4-FFF2-40B4-BE49-F238E27FC236}">
              <a16:creationId xmlns:a16="http://schemas.microsoft.com/office/drawing/2014/main" id="{00000000-0008-0000-0000-0000C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52" name="Immagine 2251" descr="http://demaco.consob/ArchiflowWeb/images/indicator.gif">
          <a:extLst>
            <a:ext uri="{FF2B5EF4-FFF2-40B4-BE49-F238E27FC236}">
              <a16:creationId xmlns:a16="http://schemas.microsoft.com/office/drawing/2014/main" id="{00000000-0008-0000-0000-0000C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53" name="Immagine 2252" descr="http://demaco.consob/ArchiflowWeb/images/indicator.gif">
          <a:extLst>
            <a:ext uri="{FF2B5EF4-FFF2-40B4-BE49-F238E27FC236}">
              <a16:creationId xmlns:a16="http://schemas.microsoft.com/office/drawing/2014/main" id="{00000000-0008-0000-0000-0000C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54" name="Immagine 2253" descr="http://demaco.consob/ArchiflowWeb/images/indicator.gif">
          <a:extLst>
            <a:ext uri="{FF2B5EF4-FFF2-40B4-BE49-F238E27FC236}">
              <a16:creationId xmlns:a16="http://schemas.microsoft.com/office/drawing/2014/main" id="{00000000-0008-0000-0000-0000C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55" name="Immagine 2254" descr="http://demaco.consob/ArchiflowWeb/images/indicator.gif">
          <a:extLst>
            <a:ext uri="{FF2B5EF4-FFF2-40B4-BE49-F238E27FC236}">
              <a16:creationId xmlns:a16="http://schemas.microsoft.com/office/drawing/2014/main" id="{00000000-0008-0000-0000-0000C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56" name="Immagine 2255" descr="http://demaco.consob/ArchiflowWeb/images/indicator.gif">
          <a:extLst>
            <a:ext uri="{FF2B5EF4-FFF2-40B4-BE49-F238E27FC236}">
              <a16:creationId xmlns:a16="http://schemas.microsoft.com/office/drawing/2014/main" id="{00000000-0008-0000-0000-0000C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57" name="Immagine 2256" descr="http://demaco.consob/ArchiflowWeb/images/indicator.gif">
          <a:extLst>
            <a:ext uri="{FF2B5EF4-FFF2-40B4-BE49-F238E27FC236}">
              <a16:creationId xmlns:a16="http://schemas.microsoft.com/office/drawing/2014/main" id="{00000000-0008-0000-0000-0000C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58" name="Immagine 2257" descr="http://demaco.consob/ArchiflowWeb/images/indicator.gif">
          <a:extLst>
            <a:ext uri="{FF2B5EF4-FFF2-40B4-BE49-F238E27FC236}">
              <a16:creationId xmlns:a16="http://schemas.microsoft.com/office/drawing/2014/main" id="{00000000-0008-0000-0000-0000C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59" name="Immagine 2258" descr="http://demaco.consob/ArchiflowWeb/images/indicator.gif">
          <a:extLst>
            <a:ext uri="{FF2B5EF4-FFF2-40B4-BE49-F238E27FC236}">
              <a16:creationId xmlns:a16="http://schemas.microsoft.com/office/drawing/2014/main" id="{00000000-0008-0000-0000-0000C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60" name="Immagine 2259" descr="http://demaco.consob/ArchiflowWeb/images/indicator.gif">
          <a:extLst>
            <a:ext uri="{FF2B5EF4-FFF2-40B4-BE49-F238E27FC236}">
              <a16:creationId xmlns:a16="http://schemas.microsoft.com/office/drawing/2014/main" id="{00000000-0008-0000-0000-0000C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61" name="Immagine 2260" descr="http://demaco.consob/ArchiflowWeb/images/indicator.gif">
          <a:extLst>
            <a:ext uri="{FF2B5EF4-FFF2-40B4-BE49-F238E27FC236}">
              <a16:creationId xmlns:a16="http://schemas.microsoft.com/office/drawing/2014/main" id="{00000000-0008-0000-0000-0000C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62" name="Immagine 2261" descr="http://demaco.consob/ArchiflowWeb/images/indicator.gif">
          <a:extLst>
            <a:ext uri="{FF2B5EF4-FFF2-40B4-BE49-F238E27FC236}">
              <a16:creationId xmlns:a16="http://schemas.microsoft.com/office/drawing/2014/main" id="{00000000-0008-0000-0000-0000C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63" name="Immagine 2262" descr="http://demaco.consob/ArchiflowWeb/images/indicator.gif">
          <a:extLst>
            <a:ext uri="{FF2B5EF4-FFF2-40B4-BE49-F238E27FC236}">
              <a16:creationId xmlns:a16="http://schemas.microsoft.com/office/drawing/2014/main" id="{00000000-0008-0000-0000-0000D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64" name="Immagine 2263" descr="http://demaco.consob/ArchiflowWeb/images/indicator.gif">
          <a:extLst>
            <a:ext uri="{FF2B5EF4-FFF2-40B4-BE49-F238E27FC236}">
              <a16:creationId xmlns:a16="http://schemas.microsoft.com/office/drawing/2014/main" id="{00000000-0008-0000-0000-0000D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65" name="Immagine 2264" descr="http://demaco.consob/ArchiflowWeb/images/indicator.gif">
          <a:extLst>
            <a:ext uri="{FF2B5EF4-FFF2-40B4-BE49-F238E27FC236}">
              <a16:creationId xmlns:a16="http://schemas.microsoft.com/office/drawing/2014/main" id="{00000000-0008-0000-0000-0000D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66" name="Immagine 2265" descr="http://demaco.consob/ArchiflowWeb/images/indicator.gif">
          <a:extLst>
            <a:ext uri="{FF2B5EF4-FFF2-40B4-BE49-F238E27FC236}">
              <a16:creationId xmlns:a16="http://schemas.microsoft.com/office/drawing/2014/main" id="{00000000-0008-0000-0000-0000D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67" name="Immagine 2266" descr="http://demaco.consob/ArchiflowWeb/images/indicator.gif">
          <a:extLst>
            <a:ext uri="{FF2B5EF4-FFF2-40B4-BE49-F238E27FC236}">
              <a16:creationId xmlns:a16="http://schemas.microsoft.com/office/drawing/2014/main" id="{00000000-0008-0000-0000-0000D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68" name="Immagine 2267" descr="http://demaco.consob/ArchiflowWeb/images/indicator.gif">
          <a:extLst>
            <a:ext uri="{FF2B5EF4-FFF2-40B4-BE49-F238E27FC236}">
              <a16:creationId xmlns:a16="http://schemas.microsoft.com/office/drawing/2014/main" id="{00000000-0008-0000-0000-0000D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69" name="Immagine 2268" descr="http://demaco.consob/ArchiflowWeb/images/indicator.gif">
          <a:extLst>
            <a:ext uri="{FF2B5EF4-FFF2-40B4-BE49-F238E27FC236}">
              <a16:creationId xmlns:a16="http://schemas.microsoft.com/office/drawing/2014/main" id="{00000000-0008-0000-0000-0000D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70" name="Immagine 2269" descr="http://demaco.consob/ArchiflowWeb/images/indicator.gif">
          <a:extLst>
            <a:ext uri="{FF2B5EF4-FFF2-40B4-BE49-F238E27FC236}">
              <a16:creationId xmlns:a16="http://schemas.microsoft.com/office/drawing/2014/main" id="{00000000-0008-0000-0000-0000D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71" name="Immagine 2270" descr="http://demaco.consob/ArchiflowWeb/images/indicator.gif">
          <a:extLst>
            <a:ext uri="{FF2B5EF4-FFF2-40B4-BE49-F238E27FC236}">
              <a16:creationId xmlns:a16="http://schemas.microsoft.com/office/drawing/2014/main" id="{00000000-0008-0000-0000-0000D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72" name="Immagine 2271" descr="http://demaco.consob/ArchiflowWeb/images/indicator.gif">
          <a:extLst>
            <a:ext uri="{FF2B5EF4-FFF2-40B4-BE49-F238E27FC236}">
              <a16:creationId xmlns:a16="http://schemas.microsoft.com/office/drawing/2014/main" id="{00000000-0008-0000-0000-0000D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73" name="Immagine 2272" descr="http://demaco.consob/ArchiflowWeb/images/indicator.gif">
          <a:extLst>
            <a:ext uri="{FF2B5EF4-FFF2-40B4-BE49-F238E27FC236}">
              <a16:creationId xmlns:a16="http://schemas.microsoft.com/office/drawing/2014/main" id="{00000000-0008-0000-0000-0000D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74" name="Immagine 2273" descr="http://demaco.consob/ArchiflowWeb/images/indicator.gif">
          <a:extLst>
            <a:ext uri="{FF2B5EF4-FFF2-40B4-BE49-F238E27FC236}">
              <a16:creationId xmlns:a16="http://schemas.microsoft.com/office/drawing/2014/main" id="{00000000-0008-0000-0000-0000D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75" name="Immagine 2274" descr="http://demaco.consob/ArchiflowWeb/images/indicator.gif">
          <a:extLst>
            <a:ext uri="{FF2B5EF4-FFF2-40B4-BE49-F238E27FC236}">
              <a16:creationId xmlns:a16="http://schemas.microsoft.com/office/drawing/2014/main" id="{00000000-0008-0000-0000-0000D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76" name="Immagine 2275" descr="http://demaco.consob/ArchiflowWeb/images/indicator.gif">
          <a:extLst>
            <a:ext uri="{FF2B5EF4-FFF2-40B4-BE49-F238E27FC236}">
              <a16:creationId xmlns:a16="http://schemas.microsoft.com/office/drawing/2014/main" id="{00000000-0008-0000-0000-0000D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77" name="Immagine 2276" descr="http://demaco.consob/ArchiflowWeb/images/indicator.gif">
          <a:extLst>
            <a:ext uri="{FF2B5EF4-FFF2-40B4-BE49-F238E27FC236}">
              <a16:creationId xmlns:a16="http://schemas.microsoft.com/office/drawing/2014/main" id="{00000000-0008-0000-0000-0000D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78" name="Immagine 2277" descr="http://demaco.consob/ArchiflowWeb/images/indicator.gif">
          <a:extLst>
            <a:ext uri="{FF2B5EF4-FFF2-40B4-BE49-F238E27FC236}">
              <a16:creationId xmlns:a16="http://schemas.microsoft.com/office/drawing/2014/main" id="{00000000-0008-0000-0000-0000D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79" name="Immagine 2278" descr="http://demaco.consob/ArchiflowWeb/images/indicator.gif">
          <a:extLst>
            <a:ext uri="{FF2B5EF4-FFF2-40B4-BE49-F238E27FC236}">
              <a16:creationId xmlns:a16="http://schemas.microsoft.com/office/drawing/2014/main" id="{00000000-0008-0000-0000-0000E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80" name="Immagine 2279" descr="http://demaco.consob/ArchiflowWeb/images/indicator.gif">
          <a:extLst>
            <a:ext uri="{FF2B5EF4-FFF2-40B4-BE49-F238E27FC236}">
              <a16:creationId xmlns:a16="http://schemas.microsoft.com/office/drawing/2014/main" id="{00000000-0008-0000-0000-0000E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81" name="Immagine 2280" descr="http://demaco.consob/ArchiflowWeb/images/indicator.gif">
          <a:extLst>
            <a:ext uri="{FF2B5EF4-FFF2-40B4-BE49-F238E27FC236}">
              <a16:creationId xmlns:a16="http://schemas.microsoft.com/office/drawing/2014/main" id="{00000000-0008-0000-0000-0000E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82" name="Immagine 2281" descr="http://demaco.consob/ArchiflowWeb/images/indicator.gif">
          <a:extLst>
            <a:ext uri="{FF2B5EF4-FFF2-40B4-BE49-F238E27FC236}">
              <a16:creationId xmlns:a16="http://schemas.microsoft.com/office/drawing/2014/main" id="{00000000-0008-0000-0000-0000E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83" name="Immagine 2282" descr="http://demaco.consob/ArchiflowWeb/images/indicator.gif">
          <a:extLst>
            <a:ext uri="{FF2B5EF4-FFF2-40B4-BE49-F238E27FC236}">
              <a16:creationId xmlns:a16="http://schemas.microsoft.com/office/drawing/2014/main" id="{00000000-0008-0000-0000-0000E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84" name="Immagine 2283" descr="http://demaco.consob/ArchiflowWeb/images/indicator.gif">
          <a:extLst>
            <a:ext uri="{FF2B5EF4-FFF2-40B4-BE49-F238E27FC236}">
              <a16:creationId xmlns:a16="http://schemas.microsoft.com/office/drawing/2014/main" id="{00000000-0008-0000-0000-0000E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85" name="Immagine 2284" descr="http://demaco.consob/ArchiflowWeb/images/indicator.gif">
          <a:extLst>
            <a:ext uri="{FF2B5EF4-FFF2-40B4-BE49-F238E27FC236}">
              <a16:creationId xmlns:a16="http://schemas.microsoft.com/office/drawing/2014/main" id="{00000000-0008-0000-0000-0000E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86" name="Immagine 2285" descr="http://demaco.consob/ArchiflowWeb/images/indicator.gif">
          <a:extLst>
            <a:ext uri="{FF2B5EF4-FFF2-40B4-BE49-F238E27FC236}">
              <a16:creationId xmlns:a16="http://schemas.microsoft.com/office/drawing/2014/main" id="{00000000-0008-0000-0000-0000E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87" name="Immagine 2286" descr="http://demaco.consob/ArchiflowWeb/images/indicator.gif">
          <a:extLst>
            <a:ext uri="{FF2B5EF4-FFF2-40B4-BE49-F238E27FC236}">
              <a16:creationId xmlns:a16="http://schemas.microsoft.com/office/drawing/2014/main" id="{00000000-0008-0000-0000-0000E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88" name="Immagine 2287" descr="http://demaco.consob/ArchiflowWeb/images/indicator.gif">
          <a:extLst>
            <a:ext uri="{FF2B5EF4-FFF2-40B4-BE49-F238E27FC236}">
              <a16:creationId xmlns:a16="http://schemas.microsoft.com/office/drawing/2014/main" id="{00000000-0008-0000-0000-0000E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89" name="Immagine 2288" descr="http://demaco.consob/ArchiflowWeb/images/indicator.gif">
          <a:extLst>
            <a:ext uri="{FF2B5EF4-FFF2-40B4-BE49-F238E27FC236}">
              <a16:creationId xmlns:a16="http://schemas.microsoft.com/office/drawing/2014/main" id="{00000000-0008-0000-0000-0000E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90" name="Immagine 2289" descr="http://demaco.consob/ArchiflowWeb/images/indicator.gif">
          <a:extLst>
            <a:ext uri="{FF2B5EF4-FFF2-40B4-BE49-F238E27FC236}">
              <a16:creationId xmlns:a16="http://schemas.microsoft.com/office/drawing/2014/main" id="{00000000-0008-0000-0000-0000E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91" name="Immagine 2290" descr="http://demaco.consob/ArchiflowWeb/images/indicator.gif">
          <a:extLst>
            <a:ext uri="{FF2B5EF4-FFF2-40B4-BE49-F238E27FC236}">
              <a16:creationId xmlns:a16="http://schemas.microsoft.com/office/drawing/2014/main" id="{00000000-0008-0000-0000-0000E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92" name="Immagine 2291" descr="http://demaco.consob/ArchiflowWeb/images/indicator.gif">
          <a:extLst>
            <a:ext uri="{FF2B5EF4-FFF2-40B4-BE49-F238E27FC236}">
              <a16:creationId xmlns:a16="http://schemas.microsoft.com/office/drawing/2014/main" id="{00000000-0008-0000-0000-0000E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93" name="Immagine 2292" descr="http://demaco.consob/ArchiflowWeb/images/indicator.gif">
          <a:extLst>
            <a:ext uri="{FF2B5EF4-FFF2-40B4-BE49-F238E27FC236}">
              <a16:creationId xmlns:a16="http://schemas.microsoft.com/office/drawing/2014/main" id="{00000000-0008-0000-0000-0000E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94" name="Immagine 2293" descr="http://demaco.consob/ArchiflowWeb/images/indicator.gif">
          <a:extLst>
            <a:ext uri="{FF2B5EF4-FFF2-40B4-BE49-F238E27FC236}">
              <a16:creationId xmlns:a16="http://schemas.microsoft.com/office/drawing/2014/main" id="{00000000-0008-0000-0000-0000E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95" name="Immagine 2294" descr="http://demaco.consob/ArchiflowWeb/images/indicator.gif">
          <a:extLst>
            <a:ext uri="{FF2B5EF4-FFF2-40B4-BE49-F238E27FC236}">
              <a16:creationId xmlns:a16="http://schemas.microsoft.com/office/drawing/2014/main" id="{00000000-0008-0000-0000-0000F0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96" name="Immagine 2295" descr="http://demaco.consob/ArchiflowWeb/images/indicator.gif">
          <a:extLst>
            <a:ext uri="{FF2B5EF4-FFF2-40B4-BE49-F238E27FC236}">
              <a16:creationId xmlns:a16="http://schemas.microsoft.com/office/drawing/2014/main" id="{00000000-0008-0000-0000-0000F1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97" name="Immagine 2296" descr="http://demaco.consob/ArchiflowWeb/images/indicator.gif">
          <a:extLst>
            <a:ext uri="{FF2B5EF4-FFF2-40B4-BE49-F238E27FC236}">
              <a16:creationId xmlns:a16="http://schemas.microsoft.com/office/drawing/2014/main" id="{00000000-0008-0000-0000-0000F2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298" name="Immagine 2297" descr="http://demaco.consob/ArchiflowWeb/images/indicator.gif">
          <a:extLst>
            <a:ext uri="{FF2B5EF4-FFF2-40B4-BE49-F238E27FC236}">
              <a16:creationId xmlns:a16="http://schemas.microsoft.com/office/drawing/2014/main" id="{00000000-0008-0000-0000-0000F3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299" name="Immagine 2298" descr="http://demaco.consob/ArchiflowWeb/images/indicator.gif">
          <a:extLst>
            <a:ext uri="{FF2B5EF4-FFF2-40B4-BE49-F238E27FC236}">
              <a16:creationId xmlns:a16="http://schemas.microsoft.com/office/drawing/2014/main" id="{00000000-0008-0000-0000-0000F4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00" name="Immagine 2299" descr="http://demaco.consob/ArchiflowWeb/images/indicator.gif">
          <a:extLst>
            <a:ext uri="{FF2B5EF4-FFF2-40B4-BE49-F238E27FC236}">
              <a16:creationId xmlns:a16="http://schemas.microsoft.com/office/drawing/2014/main" id="{00000000-0008-0000-0000-0000F5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01" name="Immagine 2300" descr="http://demaco.consob/ArchiflowWeb/images/indicator.gif">
          <a:extLst>
            <a:ext uri="{FF2B5EF4-FFF2-40B4-BE49-F238E27FC236}">
              <a16:creationId xmlns:a16="http://schemas.microsoft.com/office/drawing/2014/main" id="{00000000-0008-0000-0000-0000F6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02" name="Immagine 2301" descr="http://demaco.consob/ArchiflowWeb/images/indicator.gif">
          <a:extLst>
            <a:ext uri="{FF2B5EF4-FFF2-40B4-BE49-F238E27FC236}">
              <a16:creationId xmlns:a16="http://schemas.microsoft.com/office/drawing/2014/main" id="{00000000-0008-0000-0000-0000F7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03" name="Immagine 2302" descr="http://demaco.consob/ArchiflowWeb/images/indicator.gif">
          <a:extLst>
            <a:ext uri="{FF2B5EF4-FFF2-40B4-BE49-F238E27FC236}">
              <a16:creationId xmlns:a16="http://schemas.microsoft.com/office/drawing/2014/main" id="{00000000-0008-0000-0000-0000F8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04" name="Immagine 2303" descr="http://demaco.consob/ArchiflowWeb/images/indicator.gif">
          <a:extLst>
            <a:ext uri="{FF2B5EF4-FFF2-40B4-BE49-F238E27FC236}">
              <a16:creationId xmlns:a16="http://schemas.microsoft.com/office/drawing/2014/main" id="{00000000-0008-0000-0000-0000F9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05" name="Immagine 2304" descr="http://demaco.consob/ArchiflowWeb/images/indicator.gif">
          <a:extLst>
            <a:ext uri="{FF2B5EF4-FFF2-40B4-BE49-F238E27FC236}">
              <a16:creationId xmlns:a16="http://schemas.microsoft.com/office/drawing/2014/main" id="{00000000-0008-0000-0000-0000FA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06" name="Immagine 2305" descr="http://demaco.consob/ArchiflowWeb/images/indicator.gif">
          <a:extLst>
            <a:ext uri="{FF2B5EF4-FFF2-40B4-BE49-F238E27FC236}">
              <a16:creationId xmlns:a16="http://schemas.microsoft.com/office/drawing/2014/main" id="{00000000-0008-0000-0000-0000FB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07" name="Immagine 2306" descr="http://demaco.consob/ArchiflowWeb/images/indicator.gif">
          <a:extLst>
            <a:ext uri="{FF2B5EF4-FFF2-40B4-BE49-F238E27FC236}">
              <a16:creationId xmlns:a16="http://schemas.microsoft.com/office/drawing/2014/main" id="{00000000-0008-0000-0000-0000FC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08" name="Immagine 2307" descr="http://demaco.consob/ArchiflowWeb/images/indicator.gif">
          <a:extLst>
            <a:ext uri="{FF2B5EF4-FFF2-40B4-BE49-F238E27FC236}">
              <a16:creationId xmlns:a16="http://schemas.microsoft.com/office/drawing/2014/main" id="{00000000-0008-0000-0000-0000FD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09" name="Immagine 2308" descr="http://demaco.consob/ArchiflowWeb/images/indicator.gif">
          <a:extLst>
            <a:ext uri="{FF2B5EF4-FFF2-40B4-BE49-F238E27FC236}">
              <a16:creationId xmlns:a16="http://schemas.microsoft.com/office/drawing/2014/main" id="{00000000-0008-0000-0000-0000FE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10" name="Immagine 2309" descr="http://demaco.consob/ArchiflowWeb/images/indicator.gif">
          <a:extLst>
            <a:ext uri="{FF2B5EF4-FFF2-40B4-BE49-F238E27FC236}">
              <a16:creationId xmlns:a16="http://schemas.microsoft.com/office/drawing/2014/main" id="{00000000-0008-0000-0000-0000FF00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11" name="Immagine 2310" descr="http://demaco.consob/ArchiflowWeb/images/indicator.gif">
          <a:extLst>
            <a:ext uri="{FF2B5EF4-FFF2-40B4-BE49-F238E27FC236}">
              <a16:creationId xmlns:a16="http://schemas.microsoft.com/office/drawing/2014/main" id="{00000000-0008-0000-0000-00000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12" name="Immagine 2311" descr="http://demaco.consob/ArchiflowWeb/images/indicator.gif">
          <a:extLst>
            <a:ext uri="{FF2B5EF4-FFF2-40B4-BE49-F238E27FC236}">
              <a16:creationId xmlns:a16="http://schemas.microsoft.com/office/drawing/2014/main" id="{00000000-0008-0000-0000-00000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13" name="Immagine 2312" descr="http://demaco.consob/ArchiflowWeb/images/indicator.gif">
          <a:extLst>
            <a:ext uri="{FF2B5EF4-FFF2-40B4-BE49-F238E27FC236}">
              <a16:creationId xmlns:a16="http://schemas.microsoft.com/office/drawing/2014/main" id="{00000000-0008-0000-0000-00000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14" name="Immagine 2313" descr="http://demaco.consob/ArchiflowWeb/images/indicator.gif">
          <a:extLst>
            <a:ext uri="{FF2B5EF4-FFF2-40B4-BE49-F238E27FC236}">
              <a16:creationId xmlns:a16="http://schemas.microsoft.com/office/drawing/2014/main" id="{00000000-0008-0000-0000-00000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15" name="Immagine 2314" descr="http://demaco.consob/ArchiflowWeb/images/indicator.gif">
          <a:extLst>
            <a:ext uri="{FF2B5EF4-FFF2-40B4-BE49-F238E27FC236}">
              <a16:creationId xmlns:a16="http://schemas.microsoft.com/office/drawing/2014/main" id="{00000000-0008-0000-0000-00000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16" name="Immagine 2315" descr="http://demaco.consob/ArchiflowWeb/images/indicator.gif">
          <a:extLst>
            <a:ext uri="{FF2B5EF4-FFF2-40B4-BE49-F238E27FC236}">
              <a16:creationId xmlns:a16="http://schemas.microsoft.com/office/drawing/2014/main" id="{00000000-0008-0000-0000-00000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17" name="Immagine 2316" descr="http://demaco.consob/ArchiflowWeb/images/indicator.gif">
          <a:extLst>
            <a:ext uri="{FF2B5EF4-FFF2-40B4-BE49-F238E27FC236}">
              <a16:creationId xmlns:a16="http://schemas.microsoft.com/office/drawing/2014/main" id="{00000000-0008-0000-0000-00000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18" name="Immagine 2317" descr="http://demaco.consob/ArchiflowWeb/images/indicator.gif">
          <a:extLst>
            <a:ext uri="{FF2B5EF4-FFF2-40B4-BE49-F238E27FC236}">
              <a16:creationId xmlns:a16="http://schemas.microsoft.com/office/drawing/2014/main" id="{00000000-0008-0000-0000-00000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19" name="Immagine 2318" descr="http://demaco.consob/ArchiflowWeb/images/indicator.gif">
          <a:extLst>
            <a:ext uri="{FF2B5EF4-FFF2-40B4-BE49-F238E27FC236}">
              <a16:creationId xmlns:a16="http://schemas.microsoft.com/office/drawing/2014/main" id="{00000000-0008-0000-0000-00000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20" name="Immagine 2319" descr="http://demaco.consob/ArchiflowWeb/images/indicator.gif">
          <a:extLst>
            <a:ext uri="{FF2B5EF4-FFF2-40B4-BE49-F238E27FC236}">
              <a16:creationId xmlns:a16="http://schemas.microsoft.com/office/drawing/2014/main" id="{00000000-0008-0000-0000-00000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21" name="Immagine 2320" descr="http://demaco.consob/ArchiflowWeb/images/indicator.gif">
          <a:extLst>
            <a:ext uri="{FF2B5EF4-FFF2-40B4-BE49-F238E27FC236}">
              <a16:creationId xmlns:a16="http://schemas.microsoft.com/office/drawing/2014/main" id="{00000000-0008-0000-0000-00000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22" name="Immagine 2321" descr="http://demaco.consob/ArchiflowWeb/images/indicator.gif">
          <a:extLst>
            <a:ext uri="{FF2B5EF4-FFF2-40B4-BE49-F238E27FC236}">
              <a16:creationId xmlns:a16="http://schemas.microsoft.com/office/drawing/2014/main" id="{00000000-0008-0000-0000-00000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23" name="Immagine 2322" descr="http://demaco.consob/ArchiflowWeb/images/indicator.gif">
          <a:extLst>
            <a:ext uri="{FF2B5EF4-FFF2-40B4-BE49-F238E27FC236}">
              <a16:creationId xmlns:a16="http://schemas.microsoft.com/office/drawing/2014/main" id="{00000000-0008-0000-0000-00000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24" name="Immagine 2323" descr="http://demaco.consob/ArchiflowWeb/images/indicator.gif">
          <a:extLst>
            <a:ext uri="{FF2B5EF4-FFF2-40B4-BE49-F238E27FC236}">
              <a16:creationId xmlns:a16="http://schemas.microsoft.com/office/drawing/2014/main" id="{00000000-0008-0000-0000-00000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25" name="Immagine 2324" descr="http://demaco.consob/ArchiflowWeb/images/indicator.gif">
          <a:extLst>
            <a:ext uri="{FF2B5EF4-FFF2-40B4-BE49-F238E27FC236}">
              <a16:creationId xmlns:a16="http://schemas.microsoft.com/office/drawing/2014/main" id="{00000000-0008-0000-0000-00000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26" name="Immagine 2325" descr="http://demaco.consob/ArchiflowWeb/images/indicator.gif">
          <a:extLst>
            <a:ext uri="{FF2B5EF4-FFF2-40B4-BE49-F238E27FC236}">
              <a16:creationId xmlns:a16="http://schemas.microsoft.com/office/drawing/2014/main" id="{00000000-0008-0000-0000-00000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27" name="Immagine 2326" descr="http://demaco.consob/ArchiflowWeb/images/indicator.gif">
          <a:extLst>
            <a:ext uri="{FF2B5EF4-FFF2-40B4-BE49-F238E27FC236}">
              <a16:creationId xmlns:a16="http://schemas.microsoft.com/office/drawing/2014/main" id="{00000000-0008-0000-0000-00001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28" name="Immagine 2327" descr="http://demaco.consob/ArchiflowWeb/images/indicator.gif">
          <a:extLst>
            <a:ext uri="{FF2B5EF4-FFF2-40B4-BE49-F238E27FC236}">
              <a16:creationId xmlns:a16="http://schemas.microsoft.com/office/drawing/2014/main" id="{00000000-0008-0000-0000-00001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29" name="Immagine 2328" descr="http://demaco.consob/ArchiflowWeb/images/indicator.gif">
          <a:extLst>
            <a:ext uri="{FF2B5EF4-FFF2-40B4-BE49-F238E27FC236}">
              <a16:creationId xmlns:a16="http://schemas.microsoft.com/office/drawing/2014/main" id="{00000000-0008-0000-0000-00001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30" name="Immagine 2329" descr="http://demaco.consob/ArchiflowWeb/images/indicator.gif">
          <a:extLst>
            <a:ext uri="{FF2B5EF4-FFF2-40B4-BE49-F238E27FC236}">
              <a16:creationId xmlns:a16="http://schemas.microsoft.com/office/drawing/2014/main" id="{00000000-0008-0000-0000-00001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31" name="Immagine 2330" descr="http://demaco.consob/ArchiflowWeb/images/indicator.gif">
          <a:extLst>
            <a:ext uri="{FF2B5EF4-FFF2-40B4-BE49-F238E27FC236}">
              <a16:creationId xmlns:a16="http://schemas.microsoft.com/office/drawing/2014/main" id="{00000000-0008-0000-0000-00001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32" name="Immagine 2331" descr="http://demaco.consob/ArchiflowWeb/images/indicator.gif">
          <a:extLst>
            <a:ext uri="{FF2B5EF4-FFF2-40B4-BE49-F238E27FC236}">
              <a16:creationId xmlns:a16="http://schemas.microsoft.com/office/drawing/2014/main" id="{00000000-0008-0000-0000-00001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33" name="Immagine 2332" descr="http://demaco.consob/ArchiflowWeb/images/indicator.gif">
          <a:extLst>
            <a:ext uri="{FF2B5EF4-FFF2-40B4-BE49-F238E27FC236}">
              <a16:creationId xmlns:a16="http://schemas.microsoft.com/office/drawing/2014/main" id="{00000000-0008-0000-0000-00001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34" name="Immagine 2333" descr="http://demaco.consob/ArchiflowWeb/images/indicator.gif">
          <a:extLst>
            <a:ext uri="{FF2B5EF4-FFF2-40B4-BE49-F238E27FC236}">
              <a16:creationId xmlns:a16="http://schemas.microsoft.com/office/drawing/2014/main" id="{00000000-0008-0000-0000-00001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35" name="Immagine 2334" descr="http://demaco.consob/ArchiflowWeb/images/indicator.gif">
          <a:extLst>
            <a:ext uri="{FF2B5EF4-FFF2-40B4-BE49-F238E27FC236}">
              <a16:creationId xmlns:a16="http://schemas.microsoft.com/office/drawing/2014/main" id="{00000000-0008-0000-0000-00001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36" name="Immagine 2335" descr="http://demaco.consob/ArchiflowWeb/images/indicator.gif">
          <a:extLst>
            <a:ext uri="{FF2B5EF4-FFF2-40B4-BE49-F238E27FC236}">
              <a16:creationId xmlns:a16="http://schemas.microsoft.com/office/drawing/2014/main" id="{00000000-0008-0000-0000-00001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37" name="Immagine 2336" descr="http://demaco.consob/ArchiflowWeb/images/indicator.gif">
          <a:extLst>
            <a:ext uri="{FF2B5EF4-FFF2-40B4-BE49-F238E27FC236}">
              <a16:creationId xmlns:a16="http://schemas.microsoft.com/office/drawing/2014/main" id="{00000000-0008-0000-0000-00001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38" name="Immagine 2337" descr="http://demaco.consob/ArchiflowWeb/images/indicator.gif">
          <a:extLst>
            <a:ext uri="{FF2B5EF4-FFF2-40B4-BE49-F238E27FC236}">
              <a16:creationId xmlns:a16="http://schemas.microsoft.com/office/drawing/2014/main" id="{00000000-0008-0000-0000-00001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39" name="Immagine 2338" descr="http://demaco.consob/ArchiflowWeb/images/indicator.gif">
          <a:extLst>
            <a:ext uri="{FF2B5EF4-FFF2-40B4-BE49-F238E27FC236}">
              <a16:creationId xmlns:a16="http://schemas.microsoft.com/office/drawing/2014/main" id="{00000000-0008-0000-0000-00001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40" name="Immagine 2339" descr="http://demaco.consob/ArchiflowWeb/images/indicator.gif">
          <a:extLst>
            <a:ext uri="{FF2B5EF4-FFF2-40B4-BE49-F238E27FC236}">
              <a16:creationId xmlns:a16="http://schemas.microsoft.com/office/drawing/2014/main" id="{00000000-0008-0000-0000-00001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41" name="Immagine 2340" descr="http://demaco.consob/ArchiflowWeb/images/indicator.gif">
          <a:extLst>
            <a:ext uri="{FF2B5EF4-FFF2-40B4-BE49-F238E27FC236}">
              <a16:creationId xmlns:a16="http://schemas.microsoft.com/office/drawing/2014/main" id="{00000000-0008-0000-0000-00001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42" name="Immagine 2341" descr="http://demaco.consob/ArchiflowWeb/images/indicator.gif">
          <a:extLst>
            <a:ext uri="{FF2B5EF4-FFF2-40B4-BE49-F238E27FC236}">
              <a16:creationId xmlns:a16="http://schemas.microsoft.com/office/drawing/2014/main" id="{00000000-0008-0000-0000-00001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43" name="Immagine 2342" descr="http://demaco.consob/ArchiflowWeb/images/indicator.gif">
          <a:extLst>
            <a:ext uri="{FF2B5EF4-FFF2-40B4-BE49-F238E27FC236}">
              <a16:creationId xmlns:a16="http://schemas.microsoft.com/office/drawing/2014/main" id="{00000000-0008-0000-0000-00002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44" name="Immagine 2343" descr="http://demaco.consob/ArchiflowWeb/images/indicator.gif">
          <a:extLst>
            <a:ext uri="{FF2B5EF4-FFF2-40B4-BE49-F238E27FC236}">
              <a16:creationId xmlns:a16="http://schemas.microsoft.com/office/drawing/2014/main" id="{00000000-0008-0000-0000-00002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45" name="Immagine 2344" descr="http://demaco.consob/ArchiflowWeb/images/indicator.gif">
          <a:extLst>
            <a:ext uri="{FF2B5EF4-FFF2-40B4-BE49-F238E27FC236}">
              <a16:creationId xmlns:a16="http://schemas.microsoft.com/office/drawing/2014/main" id="{00000000-0008-0000-0000-00002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46" name="Immagine 2345" descr="http://demaco.consob/ArchiflowWeb/images/indicator.gif">
          <a:extLst>
            <a:ext uri="{FF2B5EF4-FFF2-40B4-BE49-F238E27FC236}">
              <a16:creationId xmlns:a16="http://schemas.microsoft.com/office/drawing/2014/main" id="{00000000-0008-0000-0000-00002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47" name="Immagine 2346" descr="http://demaco.consob/ArchiflowWeb/images/indicator.gif">
          <a:extLst>
            <a:ext uri="{FF2B5EF4-FFF2-40B4-BE49-F238E27FC236}">
              <a16:creationId xmlns:a16="http://schemas.microsoft.com/office/drawing/2014/main" id="{00000000-0008-0000-0000-000024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48" name="Immagine 2347" descr="http://demaco.consob/ArchiflowWeb/images/indicator.gif">
          <a:extLst>
            <a:ext uri="{FF2B5EF4-FFF2-40B4-BE49-F238E27FC236}">
              <a16:creationId xmlns:a16="http://schemas.microsoft.com/office/drawing/2014/main" id="{00000000-0008-0000-0000-000025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49" name="Immagine 2348" descr="http://demaco.consob/ArchiflowWeb/images/indicator.gif">
          <a:extLst>
            <a:ext uri="{FF2B5EF4-FFF2-40B4-BE49-F238E27FC236}">
              <a16:creationId xmlns:a16="http://schemas.microsoft.com/office/drawing/2014/main" id="{00000000-0008-0000-0000-000026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50" name="Immagine 2349" descr="http://demaco.consob/ArchiflowWeb/images/indicator.gif">
          <a:extLst>
            <a:ext uri="{FF2B5EF4-FFF2-40B4-BE49-F238E27FC236}">
              <a16:creationId xmlns:a16="http://schemas.microsoft.com/office/drawing/2014/main" id="{00000000-0008-0000-0000-000027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51" name="Immagine 2350" descr="http://demaco.consob/ArchiflowWeb/images/indicator.gif">
          <a:extLst>
            <a:ext uri="{FF2B5EF4-FFF2-40B4-BE49-F238E27FC236}">
              <a16:creationId xmlns:a16="http://schemas.microsoft.com/office/drawing/2014/main" id="{00000000-0008-0000-0000-000028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52" name="Immagine 2351" descr="http://demaco.consob/ArchiflowWeb/images/indicator.gif">
          <a:extLst>
            <a:ext uri="{FF2B5EF4-FFF2-40B4-BE49-F238E27FC236}">
              <a16:creationId xmlns:a16="http://schemas.microsoft.com/office/drawing/2014/main" id="{00000000-0008-0000-0000-000029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53" name="Immagine 2352" descr="http://demaco.consob/ArchiflowWeb/images/indicator.gif">
          <a:extLst>
            <a:ext uri="{FF2B5EF4-FFF2-40B4-BE49-F238E27FC236}">
              <a16:creationId xmlns:a16="http://schemas.microsoft.com/office/drawing/2014/main" id="{00000000-0008-0000-0000-00002A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54" name="Immagine 2353" descr="http://demaco.consob/ArchiflowWeb/images/indicator.gif">
          <a:extLst>
            <a:ext uri="{FF2B5EF4-FFF2-40B4-BE49-F238E27FC236}">
              <a16:creationId xmlns:a16="http://schemas.microsoft.com/office/drawing/2014/main" id="{00000000-0008-0000-0000-00002B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55" name="Immagine 2354" descr="http://demaco.consob/ArchiflowWeb/images/indicator.gif">
          <a:extLst>
            <a:ext uri="{FF2B5EF4-FFF2-40B4-BE49-F238E27FC236}">
              <a16:creationId xmlns:a16="http://schemas.microsoft.com/office/drawing/2014/main" id="{00000000-0008-0000-0000-00002C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56" name="Immagine 2355" descr="http://demaco.consob/ArchiflowWeb/images/indicator.gif">
          <a:extLst>
            <a:ext uri="{FF2B5EF4-FFF2-40B4-BE49-F238E27FC236}">
              <a16:creationId xmlns:a16="http://schemas.microsoft.com/office/drawing/2014/main" id="{00000000-0008-0000-0000-00002D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57" name="Immagine 2356" descr="http://demaco.consob/ArchiflowWeb/images/indicator.gif">
          <a:extLst>
            <a:ext uri="{FF2B5EF4-FFF2-40B4-BE49-F238E27FC236}">
              <a16:creationId xmlns:a16="http://schemas.microsoft.com/office/drawing/2014/main" id="{00000000-0008-0000-0000-00002E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58" name="Immagine 2357" descr="http://demaco.consob/ArchiflowWeb/images/indicator.gif">
          <a:extLst>
            <a:ext uri="{FF2B5EF4-FFF2-40B4-BE49-F238E27FC236}">
              <a16:creationId xmlns:a16="http://schemas.microsoft.com/office/drawing/2014/main" id="{00000000-0008-0000-0000-00002F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59" name="Immagine 2358" descr="http://demaco.consob/ArchiflowWeb/images/indicator.gif">
          <a:extLst>
            <a:ext uri="{FF2B5EF4-FFF2-40B4-BE49-F238E27FC236}">
              <a16:creationId xmlns:a16="http://schemas.microsoft.com/office/drawing/2014/main" id="{00000000-0008-0000-0000-000030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60" name="Immagine 2359" descr="http://demaco.consob/ArchiflowWeb/images/indicator.gif">
          <a:extLst>
            <a:ext uri="{FF2B5EF4-FFF2-40B4-BE49-F238E27FC236}">
              <a16:creationId xmlns:a16="http://schemas.microsoft.com/office/drawing/2014/main" id="{00000000-0008-0000-0000-000031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613</xdr:row>
      <xdr:rowOff>0</xdr:rowOff>
    </xdr:from>
    <xdr:ext cx="152400" cy="152400"/>
    <xdr:pic>
      <xdr:nvPicPr>
        <xdr:cNvPr id="2361" name="Immagine 2360" descr="http://demaco.consob/ArchiflowWeb/images/indicator.gif">
          <a:extLst>
            <a:ext uri="{FF2B5EF4-FFF2-40B4-BE49-F238E27FC236}">
              <a16:creationId xmlns:a16="http://schemas.microsoft.com/office/drawing/2014/main" id="{00000000-0008-0000-0000-000032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613</xdr:row>
      <xdr:rowOff>0</xdr:rowOff>
    </xdr:from>
    <xdr:ext cx="152400" cy="152400"/>
    <xdr:pic>
      <xdr:nvPicPr>
        <xdr:cNvPr id="2362" name="Immagine 2361" descr="http://demaco.consob/ArchiflowWeb/images/indicator.gif">
          <a:extLst>
            <a:ext uri="{FF2B5EF4-FFF2-40B4-BE49-F238E27FC236}">
              <a16:creationId xmlns:a16="http://schemas.microsoft.com/office/drawing/2014/main" id="{00000000-0008-0000-0000-0000330100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55650" y="290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794</xdr:row>
      <xdr:rowOff>0</xdr:rowOff>
    </xdr:from>
    <xdr:to>
      <xdr:col>11</xdr:col>
      <xdr:colOff>152400</xdr:colOff>
      <xdr:row>794</xdr:row>
      <xdr:rowOff>152400</xdr:rowOff>
    </xdr:to>
    <xdr:pic>
      <xdr:nvPicPr>
        <xdr:cNvPr id="2363" name="Immagine 2362" descr="http://demaco.consob/ArchiflowWeb/images/indicator.gif">
          <a:extLst>
            <a:ext uri="{FF2B5EF4-FFF2-40B4-BE49-F238E27FC236}">
              <a16:creationId xmlns:a16="http://schemas.microsoft.com/office/drawing/2014/main" id="{00000000-0008-0000-0000-000034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0</xdr:colOff>
      <xdr:row>794</xdr:row>
      <xdr:rowOff>0</xdr:rowOff>
    </xdr:from>
    <xdr:ext cx="152400" cy="152400"/>
    <xdr:pic>
      <xdr:nvPicPr>
        <xdr:cNvPr id="2364" name="Immagine 2363" descr="http://demaco.consob/ArchiflowWeb/images/indicator.gif">
          <a:extLst>
            <a:ext uri="{FF2B5EF4-FFF2-40B4-BE49-F238E27FC236}">
              <a16:creationId xmlns:a16="http://schemas.microsoft.com/office/drawing/2014/main" id="{00000000-0008-0000-0000-000035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795</xdr:row>
      <xdr:rowOff>0</xdr:rowOff>
    </xdr:from>
    <xdr:ext cx="152400" cy="152400"/>
    <xdr:pic>
      <xdr:nvPicPr>
        <xdr:cNvPr id="2365" name="Immagine 2364" descr="http://demaco.consob/ArchiflowWeb/images/indicator.gif">
          <a:extLst>
            <a:ext uri="{FF2B5EF4-FFF2-40B4-BE49-F238E27FC236}">
              <a16:creationId xmlns:a16="http://schemas.microsoft.com/office/drawing/2014/main" id="{00000000-0008-0000-0000-000036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172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795</xdr:row>
      <xdr:rowOff>0</xdr:rowOff>
    </xdr:from>
    <xdr:ext cx="152400" cy="152400"/>
    <xdr:pic>
      <xdr:nvPicPr>
        <xdr:cNvPr id="2366" name="Immagine 2365" descr="http://demaco.consob/ArchiflowWeb/images/indicator.gif">
          <a:extLst>
            <a:ext uri="{FF2B5EF4-FFF2-40B4-BE49-F238E27FC236}">
              <a16:creationId xmlns:a16="http://schemas.microsoft.com/office/drawing/2014/main" id="{00000000-0008-0000-0000-000037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172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796</xdr:row>
      <xdr:rowOff>0</xdr:rowOff>
    </xdr:from>
    <xdr:ext cx="152400" cy="152400"/>
    <xdr:pic>
      <xdr:nvPicPr>
        <xdr:cNvPr id="2367" name="Immagine 2366" descr="http://demaco.consob/ArchiflowWeb/images/indicator.gif">
          <a:extLst>
            <a:ext uri="{FF2B5EF4-FFF2-40B4-BE49-F238E27FC236}">
              <a16:creationId xmlns:a16="http://schemas.microsoft.com/office/drawing/2014/main" id="{00000000-0008-0000-0000-000038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0" y="162867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796</xdr:row>
      <xdr:rowOff>0</xdr:rowOff>
    </xdr:from>
    <xdr:ext cx="152400" cy="152400"/>
    <xdr:pic>
      <xdr:nvPicPr>
        <xdr:cNvPr id="2368" name="Immagine 2367" descr="http://demaco.consob/ArchiflowWeb/images/indicator.gif">
          <a:extLst>
            <a:ext uri="{FF2B5EF4-FFF2-40B4-BE49-F238E27FC236}">
              <a16:creationId xmlns:a16="http://schemas.microsoft.com/office/drawing/2014/main" id="{00000000-0008-0000-0000-000039010000}"/>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55650" y="162867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AMM/Dataset%20AMM%20al%2031%20dicembre%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GRU/dataset%20al%2031032021_dati%20omogen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AMM/Dataset%20AMM%20al%2031%20marzo%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DATASET_ANAC_2020_dati%20al%2031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Settembre%202021/AMM/Dataset%20AMM%20al%2030%20settembre%202021%20RIPARTI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M\AMM\Trasparenza%20e%20anticorruzione\DATASET%20(Elenchi%20contratti)\Dataset%20CORRENTE\Dataset%20AMM%20al%2030%20giugno%202021%20RIPARTI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DATASET_ANAC_2020_dati%20al%2031122020_lavorato%202901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Dicembre%202021/Inviati%20a%20AMM,%20BIB%20e%20GRU/Dataset%20AMM%20al%2031%20dicembre%202021%20RIPARTI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1/Marzo%202021/BIB/DATASET_ANAC_2020_dati%20al%2031032021_BIB_da%20pubblicar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avastan/Documents/DAM/AMR/Elenchi%20contratti%20ufficio/Dataset%20appalti/2020/Dicembre%202020/BIB/Copia%20di%20Riepilogo%20dei%20contratti%20%20anno%202020%20%20al%2030092020_BIB%20aggiorn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aga AMR"/>
      <sheetName val="valori"/>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M 100%"/>
      <sheetName val="Paga AMR"/>
      <sheetName val="Valori"/>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Eliminati"/>
      <sheetName val="valori"/>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valori"/>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cig.anticorruzione.it/AVCP-SmartCig/preparaDettaglioComunicazioneOS.action?codDettaglioCarnet=51910617" TargetMode="External"/><Relationship Id="rId1" Type="http://schemas.openxmlformats.org/officeDocument/2006/relationships/hyperlink" Target="https://smartcig.anticorruzione.it/AVCP-SmartCig/preparaDettaglioComunicazioneOS.action?codDettaglioCarnet=47614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26"/>
  <sheetViews>
    <sheetView tabSelected="1" zoomScale="75" zoomScaleNormal="75" workbookViewId="0">
      <pane ySplit="14" topLeftCell="A343" activePane="bottomLeft" state="frozen"/>
      <selection pane="bottomLeft" activeCell="A368" sqref="A368"/>
    </sheetView>
  </sheetViews>
  <sheetFormatPr defaultColWidth="9.140625" defaultRowHeight="15"/>
  <cols>
    <col min="1" max="1" width="31.7109375" style="6" customWidth="1"/>
    <col min="2" max="2" width="21.140625" style="6" customWidth="1"/>
    <col min="3" max="3" width="18.42578125" style="6" customWidth="1"/>
    <col min="4" max="4" width="22" style="6" customWidth="1"/>
    <col min="5" max="5" width="23.85546875" style="6" customWidth="1"/>
    <col min="6" max="6" width="18.85546875" style="6" customWidth="1"/>
    <col min="7" max="7" width="25" style="6" customWidth="1"/>
    <col min="8" max="8" width="16.85546875" style="6" customWidth="1"/>
    <col min="9" max="9" width="16.7109375" style="6" customWidth="1"/>
    <col min="10" max="10" width="20.42578125" style="5" customWidth="1"/>
    <col min="11" max="11" width="27.85546875" style="6" customWidth="1"/>
    <col min="12" max="12" width="18.7109375" style="6" customWidth="1"/>
    <col min="13" max="13" width="21.5703125" style="6" customWidth="1"/>
    <col min="14" max="14" width="27.7109375" style="6" customWidth="1"/>
    <col min="15" max="15" width="18.7109375" style="6" customWidth="1"/>
    <col min="16" max="16" width="19.28515625" style="6" customWidth="1"/>
    <col min="17" max="17" width="15.85546875" style="5" customWidth="1"/>
    <col min="18" max="18" width="27.5703125" style="6" customWidth="1"/>
    <col min="19" max="19" width="30.140625" style="6" customWidth="1"/>
    <col min="20" max="20" width="22.5703125" style="7" customWidth="1"/>
    <col min="21" max="21" width="13.7109375" style="98" customWidth="1"/>
    <col min="22" max="22" width="16" style="98" customWidth="1"/>
    <col min="23" max="23" width="25.140625" style="9" customWidth="1"/>
    <col min="24" max="16384" width="9.140625" style="8"/>
  </cols>
  <sheetData>
    <row r="2" spans="1:23">
      <c r="A2" s="3" t="s">
        <v>69</v>
      </c>
      <c r="B2" s="4" t="s">
        <v>95</v>
      </c>
    </row>
    <row r="3" spans="1:23">
      <c r="A3" s="8" t="s">
        <v>70</v>
      </c>
      <c r="B3" s="4" t="s">
        <v>1590</v>
      </c>
    </row>
    <row r="4" spans="1:23">
      <c r="A4" s="8" t="s">
        <v>71</v>
      </c>
      <c r="B4" s="10">
        <v>44592</v>
      </c>
    </row>
    <row r="5" spans="1:23">
      <c r="A5" s="8" t="s">
        <v>72</v>
      </c>
      <c r="B5" s="11" t="s">
        <v>96</v>
      </c>
    </row>
    <row r="6" spans="1:23">
      <c r="A6" s="8" t="s">
        <v>73</v>
      </c>
      <c r="B6" s="10">
        <v>44561</v>
      </c>
    </row>
    <row r="7" spans="1:23">
      <c r="A7" s="8" t="s">
        <v>74</v>
      </c>
      <c r="B7" s="12">
        <v>2021</v>
      </c>
    </row>
    <row r="8" spans="1:23">
      <c r="A8" s="8" t="s">
        <v>75</v>
      </c>
      <c r="B8" s="13" t="s">
        <v>97</v>
      </c>
    </row>
    <row r="9" spans="1:23">
      <c r="A9" s="8" t="s">
        <v>76</v>
      </c>
      <c r="B9" s="11" t="s">
        <v>98</v>
      </c>
    </row>
    <row r="12" spans="1:23">
      <c r="F12" s="139" t="s">
        <v>0</v>
      </c>
      <c r="G12" s="140"/>
      <c r="H12" s="140"/>
      <c r="I12" s="140"/>
      <c r="J12" s="140"/>
      <c r="K12" s="140"/>
      <c r="L12" s="141"/>
      <c r="M12" s="142" t="s">
        <v>1</v>
      </c>
      <c r="N12" s="143"/>
      <c r="O12" s="143"/>
      <c r="P12" s="143"/>
      <c r="Q12" s="143"/>
      <c r="R12" s="143"/>
      <c r="S12" s="144"/>
    </row>
    <row r="13" spans="1:23" ht="33.75" customHeight="1">
      <c r="A13" s="14" t="s">
        <v>2</v>
      </c>
      <c r="B13" s="15" t="s">
        <v>3</v>
      </c>
      <c r="C13" s="16"/>
      <c r="D13" s="17" t="s">
        <v>4</v>
      </c>
      <c r="E13" s="18" t="s">
        <v>5</v>
      </c>
      <c r="F13" s="147" t="s">
        <v>6</v>
      </c>
      <c r="G13" s="147"/>
      <c r="H13" s="147"/>
      <c r="I13" s="147"/>
      <c r="J13" s="145" t="s">
        <v>7</v>
      </c>
      <c r="K13" s="145"/>
      <c r="L13" s="145"/>
      <c r="M13" s="148" t="s">
        <v>8</v>
      </c>
      <c r="N13" s="148"/>
      <c r="O13" s="148"/>
      <c r="P13" s="148"/>
      <c r="Q13" s="149" t="s">
        <v>9</v>
      </c>
      <c r="R13" s="149"/>
      <c r="S13" s="149"/>
      <c r="T13" s="19" t="s">
        <v>10</v>
      </c>
      <c r="U13" s="146" t="s">
        <v>11</v>
      </c>
      <c r="V13" s="146"/>
      <c r="W13" s="20" t="s">
        <v>12</v>
      </c>
    </row>
    <row r="14" spans="1:23" s="59" customFormat="1" ht="58.5" customHeight="1">
      <c r="A14" s="51" t="s">
        <v>13</v>
      </c>
      <c r="B14" s="51" t="s">
        <v>14</v>
      </c>
      <c r="C14" s="52" t="s">
        <v>15</v>
      </c>
      <c r="D14" s="52" t="s">
        <v>16</v>
      </c>
      <c r="E14" s="52" t="s">
        <v>17</v>
      </c>
      <c r="F14" s="51" t="s">
        <v>18</v>
      </c>
      <c r="G14" s="52" t="s">
        <v>19</v>
      </c>
      <c r="H14" s="52" t="s">
        <v>20</v>
      </c>
      <c r="I14" s="52" t="s">
        <v>21</v>
      </c>
      <c r="J14" s="56" t="s">
        <v>22</v>
      </c>
      <c r="K14" s="52" t="s">
        <v>23</v>
      </c>
      <c r="L14" s="52" t="s">
        <v>24</v>
      </c>
      <c r="M14" s="52" t="s">
        <v>25</v>
      </c>
      <c r="N14" s="52" t="s">
        <v>26</v>
      </c>
      <c r="O14" s="52" t="s">
        <v>27</v>
      </c>
      <c r="P14" s="52" t="s">
        <v>28</v>
      </c>
      <c r="Q14" s="56" t="s">
        <v>29</v>
      </c>
      <c r="R14" s="52" t="s">
        <v>30</v>
      </c>
      <c r="S14" s="52" t="s">
        <v>31</v>
      </c>
      <c r="T14" s="57" t="s">
        <v>32</v>
      </c>
      <c r="U14" s="99" t="s">
        <v>33</v>
      </c>
      <c r="V14" s="99" t="s">
        <v>34</v>
      </c>
      <c r="W14" s="58" t="s">
        <v>35</v>
      </c>
    </row>
    <row r="15" spans="1:23" s="25" customFormat="1" ht="60" customHeight="1">
      <c r="A15" s="25" t="s">
        <v>84</v>
      </c>
      <c r="B15" s="29">
        <v>80204250585</v>
      </c>
      <c r="C15" s="21" t="s">
        <v>83</v>
      </c>
      <c r="D15" s="22" t="s">
        <v>85</v>
      </c>
      <c r="E15" s="21" t="s">
        <v>51</v>
      </c>
      <c r="F15" s="22"/>
      <c r="J15" s="23" t="s">
        <v>86</v>
      </c>
      <c r="K15" s="29"/>
      <c r="L15" s="22" t="s">
        <v>87</v>
      </c>
      <c r="Q15" s="24" t="s">
        <v>86</v>
      </c>
      <c r="S15" s="25" t="s">
        <v>87</v>
      </c>
      <c r="T15" s="26">
        <v>130060.8</v>
      </c>
      <c r="U15" s="100">
        <v>41420</v>
      </c>
      <c r="V15" s="100">
        <v>42149</v>
      </c>
      <c r="W15" s="28">
        <v>120237.04</v>
      </c>
    </row>
    <row r="16" spans="1:23" s="25" customFormat="1" ht="60" customHeight="1">
      <c r="A16" s="30">
        <v>4833662012</v>
      </c>
      <c r="B16" s="29">
        <v>80204250585</v>
      </c>
      <c r="C16" s="21" t="s">
        <v>83</v>
      </c>
      <c r="D16" s="22" t="s">
        <v>89</v>
      </c>
      <c r="E16" s="21" t="s">
        <v>51</v>
      </c>
      <c r="F16" s="22"/>
      <c r="I16" s="29"/>
      <c r="J16" s="23" t="s">
        <v>90</v>
      </c>
      <c r="K16" s="29"/>
      <c r="L16" s="22" t="s">
        <v>91</v>
      </c>
      <c r="Q16" s="24" t="s">
        <v>90</v>
      </c>
      <c r="S16" s="25" t="s">
        <v>91</v>
      </c>
      <c r="T16" s="26">
        <v>69767.28</v>
      </c>
      <c r="U16" s="100">
        <v>41284</v>
      </c>
      <c r="V16" s="100">
        <v>42743</v>
      </c>
      <c r="W16" s="28">
        <v>51303.58</v>
      </c>
    </row>
    <row r="17" spans="1:23" s="25" customFormat="1" ht="45" customHeight="1">
      <c r="A17" s="31">
        <v>0</v>
      </c>
      <c r="B17" s="29">
        <v>80204250585</v>
      </c>
      <c r="C17" s="21" t="s">
        <v>83</v>
      </c>
      <c r="D17" s="22" t="s">
        <v>92</v>
      </c>
      <c r="E17" s="21" t="s">
        <v>39</v>
      </c>
      <c r="F17" s="22"/>
      <c r="J17" s="23" t="s">
        <v>93</v>
      </c>
      <c r="K17" s="29"/>
      <c r="L17" s="22" t="s">
        <v>94</v>
      </c>
      <c r="Q17" s="24" t="s">
        <v>93</v>
      </c>
      <c r="S17" s="25" t="s">
        <v>94</v>
      </c>
      <c r="T17" s="26">
        <v>6555</v>
      </c>
      <c r="U17" s="100">
        <v>41699</v>
      </c>
      <c r="V17" s="100">
        <v>42794</v>
      </c>
      <c r="W17" s="28">
        <v>4370</v>
      </c>
    </row>
    <row r="18" spans="1:23" s="25" customFormat="1" ht="165" customHeight="1">
      <c r="A18" s="25" t="s">
        <v>100</v>
      </c>
      <c r="B18" s="29">
        <v>80204250585</v>
      </c>
      <c r="C18" s="21" t="s">
        <v>83</v>
      </c>
      <c r="D18" s="22" t="s">
        <v>101</v>
      </c>
      <c r="E18" s="21" t="s">
        <v>51</v>
      </c>
      <c r="F18" s="22"/>
      <c r="J18" s="23" t="s">
        <v>90</v>
      </c>
      <c r="K18" s="29"/>
      <c r="L18" s="22" t="s">
        <v>91</v>
      </c>
      <c r="Q18" s="24" t="s">
        <v>90</v>
      </c>
      <c r="S18" s="25" t="s">
        <v>91</v>
      </c>
      <c r="T18" s="26">
        <v>188000</v>
      </c>
      <c r="U18" s="100">
        <v>42137</v>
      </c>
      <c r="V18" s="100">
        <v>42826</v>
      </c>
      <c r="W18" s="28">
        <f>148945.31+103.65+103.56+103.65+103.65+103.74+103.56+103.54+28.23</f>
        <v>149698.88999999998</v>
      </c>
    </row>
    <row r="19" spans="1:23" s="25" customFormat="1" ht="60" customHeight="1">
      <c r="A19" s="25" t="s">
        <v>102</v>
      </c>
      <c r="B19" s="29">
        <v>80204250585</v>
      </c>
      <c r="C19" s="21" t="s">
        <v>83</v>
      </c>
      <c r="D19" s="22" t="s">
        <v>103</v>
      </c>
      <c r="E19" s="21" t="s">
        <v>51</v>
      </c>
      <c r="F19" s="22"/>
      <c r="J19" s="23" t="s">
        <v>90</v>
      </c>
      <c r="K19" s="29"/>
      <c r="L19" s="22" t="s">
        <v>91</v>
      </c>
      <c r="Q19" s="24" t="s">
        <v>90</v>
      </c>
      <c r="S19" s="25" t="s">
        <v>91</v>
      </c>
      <c r="T19" s="26">
        <v>17619.599999999999</v>
      </c>
      <c r="U19" s="100">
        <v>41640</v>
      </c>
      <c r="V19" s="100">
        <v>43100</v>
      </c>
      <c r="W19" s="28">
        <v>8809.82</v>
      </c>
    </row>
    <row r="20" spans="1:23" s="25" customFormat="1" ht="90" customHeight="1">
      <c r="A20" s="25" t="s">
        <v>111</v>
      </c>
      <c r="B20" s="29">
        <v>80204250585</v>
      </c>
      <c r="C20" s="21" t="s">
        <v>83</v>
      </c>
      <c r="D20" s="21" t="s">
        <v>112</v>
      </c>
      <c r="E20" s="21" t="s">
        <v>43</v>
      </c>
      <c r="F20" s="21"/>
      <c r="G20" s="29"/>
      <c r="H20" s="29"/>
      <c r="J20" s="23" t="s">
        <v>113</v>
      </c>
      <c r="K20" s="29"/>
      <c r="L20" s="21" t="s">
        <v>114</v>
      </c>
      <c r="Q20" s="24" t="s">
        <v>115</v>
      </c>
      <c r="S20" s="29" t="s">
        <v>116</v>
      </c>
      <c r="T20" s="26">
        <v>24161.759999999998</v>
      </c>
      <c r="U20" s="100">
        <v>42095</v>
      </c>
      <c r="V20" s="100">
        <v>43921</v>
      </c>
      <c r="W20" s="28">
        <f>21178+1510.11+3287.74</f>
        <v>25975.85</v>
      </c>
    </row>
    <row r="21" spans="1:23" s="25" customFormat="1" ht="90" customHeight="1">
      <c r="A21" s="25" t="s">
        <v>117</v>
      </c>
      <c r="B21" s="29">
        <v>80204250585</v>
      </c>
      <c r="C21" s="21" t="s">
        <v>83</v>
      </c>
      <c r="D21" s="22" t="s">
        <v>118</v>
      </c>
      <c r="E21" s="21" t="s">
        <v>51</v>
      </c>
      <c r="F21" s="22"/>
      <c r="J21" s="23" t="s">
        <v>119</v>
      </c>
      <c r="K21" s="29"/>
      <c r="L21" s="22" t="s">
        <v>120</v>
      </c>
      <c r="Q21" s="24" t="s">
        <v>119</v>
      </c>
      <c r="S21" s="25" t="s">
        <v>121</v>
      </c>
      <c r="T21" s="26">
        <v>39760</v>
      </c>
      <c r="U21" s="100">
        <v>42002</v>
      </c>
      <c r="V21" s="100">
        <v>43920</v>
      </c>
      <c r="W21" s="28">
        <v>37770</v>
      </c>
    </row>
    <row r="22" spans="1:23" s="25" customFormat="1" ht="409.5" customHeight="1">
      <c r="A22" s="25" t="s">
        <v>122</v>
      </c>
      <c r="B22" s="29">
        <v>80204250585</v>
      </c>
      <c r="C22" s="21" t="s">
        <v>83</v>
      </c>
      <c r="D22" s="22" t="s">
        <v>123</v>
      </c>
      <c r="E22" s="21" t="s">
        <v>36</v>
      </c>
      <c r="F22" s="22" t="s">
        <v>677</v>
      </c>
      <c r="H22" s="25" t="s">
        <v>124</v>
      </c>
      <c r="I22" s="25" t="s">
        <v>108</v>
      </c>
      <c r="J22" s="23" t="s">
        <v>125</v>
      </c>
      <c r="K22" s="29"/>
      <c r="L22" s="21" t="s">
        <v>126</v>
      </c>
      <c r="Q22" s="24" t="s">
        <v>127</v>
      </c>
      <c r="S22" s="25" t="s">
        <v>128</v>
      </c>
      <c r="T22" s="26">
        <v>1779354</v>
      </c>
      <c r="U22" s="100">
        <v>42095</v>
      </c>
      <c r="V22" s="100">
        <v>43921</v>
      </c>
      <c r="W22" s="28">
        <f>1079479.93+20501.68+21304.08+20488.08+20552.68+21839.58+20080.08+20515.28+20501.68+21559.08+19304.87</f>
        <v>1286127.0200000003</v>
      </c>
    </row>
    <row r="23" spans="1:23" s="25" customFormat="1" ht="105" customHeight="1">
      <c r="A23" s="25" t="s">
        <v>129</v>
      </c>
      <c r="B23" s="29">
        <v>80204250585</v>
      </c>
      <c r="C23" s="21" t="s">
        <v>83</v>
      </c>
      <c r="D23" s="22" t="s">
        <v>130</v>
      </c>
      <c r="E23" s="21" t="s">
        <v>51</v>
      </c>
      <c r="F23" s="22"/>
      <c r="J23" s="23"/>
      <c r="K23" s="29"/>
      <c r="L23" s="22"/>
      <c r="Q23" s="24" t="s">
        <v>119</v>
      </c>
      <c r="S23" s="25" t="s">
        <v>131</v>
      </c>
      <c r="T23" s="26">
        <v>256452</v>
      </c>
      <c r="U23" s="100">
        <v>42125</v>
      </c>
      <c r="V23" s="100">
        <v>43952</v>
      </c>
      <c r="W23" s="28">
        <f>195392+5698.93+12212</f>
        <v>213302.93</v>
      </c>
    </row>
    <row r="24" spans="1:23" s="25" customFormat="1" ht="409.5" customHeight="1">
      <c r="A24" s="25" t="s">
        <v>132</v>
      </c>
      <c r="B24" s="29">
        <v>80204250585</v>
      </c>
      <c r="C24" s="21" t="s">
        <v>83</v>
      </c>
      <c r="D24" s="22" t="s">
        <v>133</v>
      </c>
      <c r="E24" s="21" t="s">
        <v>36</v>
      </c>
      <c r="F24" s="22" t="s">
        <v>679</v>
      </c>
      <c r="H24" s="22" t="s">
        <v>680</v>
      </c>
      <c r="I24" s="22" t="s">
        <v>678</v>
      </c>
      <c r="J24" s="23"/>
      <c r="K24" s="29"/>
      <c r="L24" s="22"/>
      <c r="M24" s="22" t="s">
        <v>134</v>
      </c>
      <c r="O24" s="22" t="s">
        <v>135</v>
      </c>
      <c r="P24" s="22" t="s">
        <v>136</v>
      </c>
      <c r="Q24" s="24"/>
      <c r="T24" s="26">
        <v>19376763.190000001</v>
      </c>
      <c r="U24" s="100">
        <v>42005</v>
      </c>
      <c r="V24" s="100">
        <v>44012</v>
      </c>
      <c r="W24" s="28">
        <f>10480141.37+86460.33+28208.25+1479728.24+12238.12+28555.62+14987.05+14501.65+20657.56+41574.74+9402.75+28820.11+52374.19+10566.76+9974.53+32387.25+32088.75+30444.61+32556.4</f>
        <v>12445668.279999997</v>
      </c>
    </row>
    <row r="25" spans="1:23" s="25" customFormat="1" ht="60" customHeight="1">
      <c r="A25" s="25" t="s">
        <v>137</v>
      </c>
      <c r="B25" s="29">
        <v>80204250585</v>
      </c>
      <c r="C25" s="21" t="s">
        <v>83</v>
      </c>
      <c r="D25" s="22" t="s">
        <v>138</v>
      </c>
      <c r="E25" s="21" t="s">
        <v>51</v>
      </c>
      <c r="F25" s="22"/>
      <c r="J25" s="23" t="s">
        <v>106</v>
      </c>
      <c r="K25" s="29"/>
      <c r="L25" s="22" t="s">
        <v>139</v>
      </c>
      <c r="Q25" s="24" t="s">
        <v>106</v>
      </c>
      <c r="R25" s="29"/>
      <c r="S25" s="25" t="s">
        <v>139</v>
      </c>
      <c r="T25" s="26">
        <v>17057.28</v>
      </c>
      <c r="U25" s="100">
        <v>42552</v>
      </c>
      <c r="V25" s="100">
        <v>44012</v>
      </c>
      <c r="W25" s="28">
        <f>8599.01+710.72+710.54+18.3+1066.08+355.36+284.27</f>
        <v>11744.28</v>
      </c>
    </row>
    <row r="26" spans="1:23" s="25" customFormat="1" ht="75" customHeight="1">
      <c r="A26" s="29" t="s">
        <v>141</v>
      </c>
      <c r="B26" s="29">
        <v>80204250585</v>
      </c>
      <c r="C26" s="21" t="s">
        <v>83</v>
      </c>
      <c r="D26" s="21" t="s">
        <v>142</v>
      </c>
      <c r="E26" s="21" t="s">
        <v>51</v>
      </c>
      <c r="F26" s="21"/>
      <c r="G26" s="29"/>
      <c r="H26" s="29"/>
      <c r="I26" s="29"/>
      <c r="J26" s="23" t="s">
        <v>106</v>
      </c>
      <c r="K26" s="29"/>
      <c r="L26" s="21" t="s">
        <v>139</v>
      </c>
      <c r="M26" s="29"/>
      <c r="N26" s="29"/>
      <c r="O26" s="29"/>
      <c r="P26" s="29"/>
      <c r="Q26" s="24" t="s">
        <v>106</v>
      </c>
      <c r="R26" s="29"/>
      <c r="S26" s="29" t="s">
        <v>139</v>
      </c>
      <c r="T26" s="26">
        <v>10230.24</v>
      </c>
      <c r="U26" s="100">
        <v>42493</v>
      </c>
      <c r="V26" s="100">
        <v>43953</v>
      </c>
      <c r="W26" s="28">
        <f>7879.77+465.48+465.48+698.22+484.39-120.17+150.14+157.75</f>
        <v>10181.059999999998</v>
      </c>
    </row>
    <row r="27" spans="1:23" s="25" customFormat="1" ht="60" customHeight="1">
      <c r="A27" s="29" t="s">
        <v>143</v>
      </c>
      <c r="B27" s="29">
        <v>80204250585</v>
      </c>
      <c r="C27" s="21" t="s">
        <v>83</v>
      </c>
      <c r="D27" s="21" t="s">
        <v>144</v>
      </c>
      <c r="E27" s="21" t="s">
        <v>51</v>
      </c>
      <c r="F27" s="21"/>
      <c r="G27" s="29"/>
      <c r="H27" s="29"/>
      <c r="I27" s="29"/>
      <c r="J27" s="23" t="s">
        <v>90</v>
      </c>
      <c r="K27" s="29"/>
      <c r="L27" s="21" t="s">
        <v>91</v>
      </c>
      <c r="M27" s="29"/>
      <c r="N27" s="29"/>
      <c r="O27" s="29"/>
      <c r="P27" s="29"/>
      <c r="Q27" s="24" t="s">
        <v>90</v>
      </c>
      <c r="R27" s="29"/>
      <c r="S27" s="25" t="s">
        <v>91</v>
      </c>
      <c r="T27" s="26">
        <v>21000</v>
      </c>
      <c r="U27" s="100">
        <v>42629</v>
      </c>
      <c r="V27" s="100">
        <v>43496</v>
      </c>
      <c r="W27" s="28">
        <v>50995.72</v>
      </c>
    </row>
    <row r="28" spans="1:23" s="25" customFormat="1" ht="150" customHeight="1">
      <c r="A28" s="25" t="s">
        <v>145</v>
      </c>
      <c r="B28" s="29">
        <v>80204250585</v>
      </c>
      <c r="C28" s="21" t="s">
        <v>83</v>
      </c>
      <c r="D28" s="22" t="s">
        <v>146</v>
      </c>
      <c r="E28" s="21" t="s">
        <v>43</v>
      </c>
      <c r="F28" s="22"/>
      <c r="J28" s="23" t="s">
        <v>681</v>
      </c>
      <c r="K28" s="29"/>
      <c r="L28" s="22" t="s">
        <v>682</v>
      </c>
      <c r="Q28" s="24">
        <v>12878470157</v>
      </c>
      <c r="R28" s="29"/>
      <c r="S28" s="25" t="s">
        <v>147</v>
      </c>
      <c r="T28" s="26">
        <f>41300+41300</f>
        <v>82600</v>
      </c>
      <c r="U28" s="100">
        <v>42614</v>
      </c>
      <c r="V28" s="100">
        <v>44074</v>
      </c>
      <c r="W28" s="28">
        <f>56852+5184+5184</f>
        <v>67220</v>
      </c>
    </row>
    <row r="29" spans="1:23" s="25" customFormat="1" ht="75" customHeight="1">
      <c r="A29" s="25" t="s">
        <v>148</v>
      </c>
      <c r="B29" s="29">
        <v>80204250585</v>
      </c>
      <c r="C29" s="21" t="s">
        <v>83</v>
      </c>
      <c r="D29" s="22" t="s">
        <v>149</v>
      </c>
      <c r="E29" s="21" t="s">
        <v>48</v>
      </c>
      <c r="F29" s="22"/>
      <c r="J29" s="23" t="s">
        <v>150</v>
      </c>
      <c r="K29" s="29"/>
      <c r="L29" s="22" t="s">
        <v>151</v>
      </c>
      <c r="Q29" s="24" t="s">
        <v>90</v>
      </c>
      <c r="R29" s="29"/>
      <c r="S29" s="25" t="s">
        <v>91</v>
      </c>
      <c r="T29" s="26">
        <v>18280</v>
      </c>
      <c r="U29" s="100">
        <v>42688</v>
      </c>
      <c r="V29" s="100">
        <v>42689</v>
      </c>
      <c r="W29" s="28">
        <f>16909+685.5+685.5</f>
        <v>18280</v>
      </c>
    </row>
    <row r="30" spans="1:23" s="25" customFormat="1" ht="105" customHeight="1">
      <c r="A30" s="25" t="s">
        <v>175</v>
      </c>
      <c r="B30" s="29">
        <v>80204250585</v>
      </c>
      <c r="C30" s="21" t="s">
        <v>83</v>
      </c>
      <c r="D30" s="22" t="s">
        <v>176</v>
      </c>
      <c r="E30" s="21" t="s">
        <v>51</v>
      </c>
      <c r="F30" s="22"/>
      <c r="J30" s="23" t="s">
        <v>90</v>
      </c>
      <c r="K30" s="29"/>
      <c r="L30" s="22" t="s">
        <v>91</v>
      </c>
      <c r="Q30" s="24" t="s">
        <v>90</v>
      </c>
      <c r="R30" s="29"/>
      <c r="S30" s="25" t="s">
        <v>91</v>
      </c>
      <c r="T30" s="26">
        <v>23627.83</v>
      </c>
      <c r="U30" s="100">
        <v>42697</v>
      </c>
      <c r="V30" s="100">
        <v>43074</v>
      </c>
      <c r="W30" s="28">
        <v>0</v>
      </c>
    </row>
    <row r="31" spans="1:23" s="25" customFormat="1" ht="135" customHeight="1">
      <c r="A31" s="29" t="s">
        <v>178</v>
      </c>
      <c r="B31" s="29">
        <v>80204250585</v>
      </c>
      <c r="C31" s="21" t="s">
        <v>83</v>
      </c>
      <c r="D31" s="21" t="s">
        <v>179</v>
      </c>
      <c r="E31" s="21" t="s">
        <v>43</v>
      </c>
      <c r="F31" s="21"/>
      <c r="G31" s="29"/>
      <c r="H31" s="29"/>
      <c r="I31" s="29"/>
      <c r="J31" s="23" t="s">
        <v>180</v>
      </c>
      <c r="K31" s="29"/>
      <c r="L31" s="21" t="s">
        <v>181</v>
      </c>
      <c r="M31" s="29"/>
      <c r="N31" s="29"/>
      <c r="O31" s="29"/>
      <c r="P31" s="29"/>
      <c r="Q31" s="24" t="s">
        <v>182</v>
      </c>
      <c r="R31" s="29"/>
      <c r="S31" s="29" t="s">
        <v>183</v>
      </c>
      <c r="T31" s="26">
        <v>174000</v>
      </c>
      <c r="U31" s="100">
        <v>42736</v>
      </c>
      <c r="V31" s="100">
        <v>43904</v>
      </c>
      <c r="W31" s="28">
        <f>185633.61+2971.58+2971.58</f>
        <v>191576.76999999996</v>
      </c>
    </row>
    <row r="32" spans="1:23" s="25" customFormat="1" ht="135" customHeight="1">
      <c r="A32" s="25" t="s">
        <v>184</v>
      </c>
      <c r="B32" s="29">
        <v>80204250585</v>
      </c>
      <c r="C32" s="22" t="s">
        <v>83</v>
      </c>
      <c r="D32" s="22" t="s">
        <v>185</v>
      </c>
      <c r="E32" s="21" t="s">
        <v>51</v>
      </c>
      <c r="F32" s="22"/>
      <c r="J32" s="23" t="s">
        <v>186</v>
      </c>
      <c r="L32" s="22" t="s">
        <v>187</v>
      </c>
      <c r="Q32" s="24" t="s">
        <v>186</v>
      </c>
      <c r="S32" s="25" t="s">
        <v>195</v>
      </c>
      <c r="T32" s="26">
        <v>71365.5</v>
      </c>
      <c r="U32" s="100">
        <v>42822</v>
      </c>
      <c r="V32" s="100">
        <v>44647</v>
      </c>
      <c r="W32" s="28">
        <v>71365.5</v>
      </c>
    </row>
    <row r="33" spans="1:23" s="25" customFormat="1" ht="180" customHeight="1">
      <c r="A33" s="29" t="s">
        <v>188</v>
      </c>
      <c r="B33" s="29">
        <v>80204250585</v>
      </c>
      <c r="C33" s="21" t="s">
        <v>83</v>
      </c>
      <c r="D33" s="21" t="s">
        <v>1580</v>
      </c>
      <c r="E33" s="21" t="s">
        <v>51</v>
      </c>
      <c r="F33" s="21"/>
      <c r="G33" s="29"/>
      <c r="H33" s="29"/>
      <c r="I33" s="29"/>
      <c r="J33" s="23">
        <v>12878470157</v>
      </c>
      <c r="K33" s="29"/>
      <c r="L33" s="21" t="s">
        <v>147</v>
      </c>
      <c r="M33" s="29"/>
      <c r="N33" s="29"/>
      <c r="O33" s="29"/>
      <c r="P33" s="29"/>
      <c r="Q33" s="24">
        <v>12878470157</v>
      </c>
      <c r="R33" s="29"/>
      <c r="S33" s="29" t="s">
        <v>147</v>
      </c>
      <c r="T33" s="26">
        <f>335647.2+249454.64</f>
        <v>585101.84000000008</v>
      </c>
      <c r="U33" s="100">
        <v>42880</v>
      </c>
      <c r="V33" s="100">
        <v>45069</v>
      </c>
      <c r="W33" s="28">
        <f>159700.56+18792.32+20257.37+20361.76+20361.76+20361.76+20361.76+55742.25+20361.76+20361.76+20361.76+20361.76+20323.83</f>
        <v>437710.41000000009</v>
      </c>
    </row>
    <row r="34" spans="1:23" s="25" customFormat="1" ht="90" customHeight="1">
      <c r="A34" s="29" t="s">
        <v>192</v>
      </c>
      <c r="B34" s="29">
        <v>80204250585</v>
      </c>
      <c r="C34" s="21" t="s">
        <v>83</v>
      </c>
      <c r="D34" s="21" t="s">
        <v>193</v>
      </c>
      <c r="E34" s="21" t="s">
        <v>39</v>
      </c>
      <c r="F34" s="21"/>
      <c r="G34" s="29"/>
      <c r="H34" s="29"/>
      <c r="I34" s="29"/>
      <c r="J34" s="23" t="s">
        <v>194</v>
      </c>
      <c r="K34" s="29"/>
      <c r="L34" s="25" t="s">
        <v>344</v>
      </c>
      <c r="M34" s="29"/>
      <c r="N34" s="29"/>
      <c r="O34" s="29"/>
      <c r="P34" s="29"/>
      <c r="Q34" s="24" t="s">
        <v>194</v>
      </c>
      <c r="R34" s="29"/>
      <c r="S34" s="25" t="s">
        <v>344</v>
      </c>
      <c r="T34" s="26">
        <v>1734883.7</v>
      </c>
      <c r="U34" s="100">
        <v>42917</v>
      </c>
      <c r="V34" s="100">
        <v>43646</v>
      </c>
      <c r="W34" s="28">
        <v>864115.28999999992</v>
      </c>
    </row>
    <row r="35" spans="1:23" s="25" customFormat="1" ht="150" customHeight="1">
      <c r="A35" s="29" t="s">
        <v>196</v>
      </c>
      <c r="B35" s="29">
        <v>80204250585</v>
      </c>
      <c r="C35" s="21" t="s">
        <v>83</v>
      </c>
      <c r="D35" s="21" t="s">
        <v>197</v>
      </c>
      <c r="E35" s="21" t="s">
        <v>36</v>
      </c>
      <c r="F35" s="21"/>
      <c r="G35" s="29"/>
      <c r="H35" s="29"/>
      <c r="I35" s="29"/>
      <c r="J35" s="23" t="s">
        <v>198</v>
      </c>
      <c r="K35" s="29"/>
      <c r="L35" s="21" t="s">
        <v>199</v>
      </c>
      <c r="M35" s="29"/>
      <c r="N35" s="29"/>
      <c r="O35" s="29"/>
      <c r="P35" s="29"/>
      <c r="Q35" s="24" t="s">
        <v>200</v>
      </c>
      <c r="R35" s="29"/>
      <c r="S35" s="29" t="s">
        <v>201</v>
      </c>
      <c r="T35" s="26">
        <v>1008100</v>
      </c>
      <c r="U35" s="100">
        <v>43081</v>
      </c>
      <c r="V35" s="100">
        <v>44272</v>
      </c>
      <c r="W35" s="28">
        <f>881433.36+(15833.34*2)+15833.34+15833.34+15833.262</f>
        <v>960599.98199999996</v>
      </c>
    </row>
    <row r="36" spans="1:23" s="25" customFormat="1" ht="60" customHeight="1">
      <c r="A36" s="29" t="s">
        <v>202</v>
      </c>
      <c r="B36" s="29">
        <v>80204250585</v>
      </c>
      <c r="C36" s="21" t="s">
        <v>83</v>
      </c>
      <c r="D36" s="21" t="s">
        <v>203</v>
      </c>
      <c r="E36" s="21" t="s">
        <v>39</v>
      </c>
      <c r="F36" s="21"/>
      <c r="G36" s="29"/>
      <c r="H36" s="29"/>
      <c r="I36" s="29"/>
      <c r="J36" s="23" t="s">
        <v>204</v>
      </c>
      <c r="K36" s="29"/>
      <c r="L36" s="21" t="s">
        <v>205</v>
      </c>
      <c r="M36" s="29"/>
      <c r="N36" s="29"/>
      <c r="O36" s="29"/>
      <c r="Q36" s="24" t="s">
        <v>204</v>
      </c>
      <c r="R36" s="27"/>
      <c r="S36" s="29" t="s">
        <v>205</v>
      </c>
      <c r="T36" s="26">
        <v>173.07</v>
      </c>
      <c r="U36" s="100">
        <v>42817</v>
      </c>
      <c r="V36" s="100">
        <v>43181</v>
      </c>
      <c r="W36" s="28">
        <v>0</v>
      </c>
    </row>
    <row r="37" spans="1:23" s="25" customFormat="1" ht="60" customHeight="1">
      <c r="A37" s="25" t="s">
        <v>208</v>
      </c>
      <c r="B37" s="29">
        <v>80204250585</v>
      </c>
      <c r="C37" s="21" t="s">
        <v>83</v>
      </c>
      <c r="D37" s="21" t="s">
        <v>209</v>
      </c>
      <c r="E37" s="21" t="s">
        <v>48</v>
      </c>
      <c r="F37" s="21"/>
      <c r="G37" s="29"/>
      <c r="H37" s="29"/>
      <c r="I37" s="29"/>
      <c r="J37" s="23" t="s">
        <v>210</v>
      </c>
      <c r="K37" s="29"/>
      <c r="L37" s="21" t="s">
        <v>211</v>
      </c>
      <c r="M37" s="29"/>
      <c r="N37" s="29"/>
      <c r="O37" s="29"/>
      <c r="P37" s="29"/>
      <c r="Q37" s="24" t="s">
        <v>210</v>
      </c>
      <c r="R37" s="29"/>
      <c r="S37" s="29" t="s">
        <v>211</v>
      </c>
      <c r="T37" s="26">
        <v>17000</v>
      </c>
      <c r="U37" s="100">
        <v>43160</v>
      </c>
      <c r="V37" s="100">
        <v>43524</v>
      </c>
      <c r="W37" s="28">
        <v>3898.45</v>
      </c>
    </row>
    <row r="38" spans="1:23" s="25" customFormat="1" ht="105" customHeight="1">
      <c r="A38" s="25" t="s">
        <v>213</v>
      </c>
      <c r="B38" s="29">
        <v>80204250585</v>
      </c>
      <c r="C38" s="22" t="s">
        <v>83</v>
      </c>
      <c r="D38" s="22" t="s">
        <v>214</v>
      </c>
      <c r="E38" s="21" t="s">
        <v>51</v>
      </c>
      <c r="F38" s="22"/>
      <c r="I38" s="29"/>
      <c r="J38" s="23" t="s">
        <v>215</v>
      </c>
      <c r="L38" s="22" t="s">
        <v>216</v>
      </c>
      <c r="N38" s="29"/>
      <c r="Q38" s="24" t="s">
        <v>215</v>
      </c>
      <c r="R38" s="27"/>
      <c r="S38" s="25" t="s">
        <v>216</v>
      </c>
      <c r="T38" s="26">
        <v>1928500</v>
      </c>
      <c r="U38" s="100">
        <v>43143</v>
      </c>
      <c r="V38" s="100">
        <v>44286</v>
      </c>
      <c r="W38" s="28">
        <f>117924.58+21806.39+51922.94+51750.53+5958.48+8434.29+9151.52+14068.64+13447.97+23737.39+13861.75</f>
        <v>332064.48000000004</v>
      </c>
    </row>
    <row r="39" spans="1:23" s="25" customFormat="1" ht="90" customHeight="1">
      <c r="A39" s="25" t="s">
        <v>218</v>
      </c>
      <c r="B39" s="29">
        <v>80204250585</v>
      </c>
      <c r="C39" s="22" t="s">
        <v>83</v>
      </c>
      <c r="D39" s="22" t="s">
        <v>219</v>
      </c>
      <c r="E39" s="21" t="s">
        <v>48</v>
      </c>
      <c r="F39" s="22"/>
      <c r="I39" s="29"/>
      <c r="J39" s="23" t="s">
        <v>220</v>
      </c>
      <c r="L39" s="22" t="s">
        <v>221</v>
      </c>
      <c r="N39" s="29"/>
      <c r="Q39" s="24" t="s">
        <v>220</v>
      </c>
      <c r="R39" s="27"/>
      <c r="S39" s="25" t="s">
        <v>221</v>
      </c>
      <c r="T39" s="26">
        <v>21897.5</v>
      </c>
      <c r="U39" s="100">
        <v>43191</v>
      </c>
      <c r="V39" s="100">
        <v>43312</v>
      </c>
      <c r="W39" s="28">
        <v>7112.62</v>
      </c>
    </row>
    <row r="40" spans="1:23" s="25" customFormat="1" ht="120" customHeight="1">
      <c r="A40" s="25" t="s">
        <v>222</v>
      </c>
      <c r="B40" s="29">
        <v>80204250585</v>
      </c>
      <c r="C40" s="22" t="s">
        <v>83</v>
      </c>
      <c r="D40" s="22" t="s">
        <v>223</v>
      </c>
      <c r="E40" s="21" t="s">
        <v>43</v>
      </c>
      <c r="F40" s="22"/>
      <c r="I40" s="29"/>
      <c r="J40" s="23" t="s">
        <v>224</v>
      </c>
      <c r="L40" s="22" t="s">
        <v>225</v>
      </c>
      <c r="N40" s="29"/>
      <c r="Q40" s="24" t="s">
        <v>226</v>
      </c>
      <c r="R40" s="27"/>
      <c r="S40" s="25" t="s">
        <v>227</v>
      </c>
      <c r="T40" s="26">
        <v>0</v>
      </c>
      <c r="U40" s="100">
        <v>43449</v>
      </c>
      <c r="V40" s="100">
        <v>44179</v>
      </c>
      <c r="W40" s="28">
        <v>200</v>
      </c>
    </row>
    <row r="41" spans="1:23" s="25" customFormat="1" ht="90" customHeight="1">
      <c r="A41" s="25" t="s">
        <v>228</v>
      </c>
      <c r="B41" s="29">
        <v>80204250585</v>
      </c>
      <c r="C41" s="22" t="s">
        <v>83</v>
      </c>
      <c r="D41" s="22" t="s">
        <v>219</v>
      </c>
      <c r="E41" s="21" t="s">
        <v>48</v>
      </c>
      <c r="F41" s="22"/>
      <c r="I41" s="29"/>
      <c r="J41" s="23" t="s">
        <v>220</v>
      </c>
      <c r="L41" s="22" t="s">
        <v>221</v>
      </c>
      <c r="N41" s="29"/>
      <c r="Q41" s="24" t="s">
        <v>220</v>
      </c>
      <c r="R41" s="27"/>
      <c r="S41" s="25" t="s">
        <v>221</v>
      </c>
      <c r="T41" s="26">
        <v>38096.21</v>
      </c>
      <c r="U41" s="100">
        <v>43313</v>
      </c>
      <c r="V41" s="100">
        <v>43465</v>
      </c>
      <c r="W41" s="28">
        <v>3601.22</v>
      </c>
    </row>
    <row r="42" spans="1:23" s="25" customFormat="1" ht="90" customHeight="1">
      <c r="A42" s="29" t="s">
        <v>229</v>
      </c>
      <c r="B42" s="29">
        <v>80204250585</v>
      </c>
      <c r="C42" s="22" t="s">
        <v>83</v>
      </c>
      <c r="D42" s="21" t="s">
        <v>230</v>
      </c>
      <c r="E42" s="21" t="s">
        <v>43</v>
      </c>
      <c r="F42" s="21"/>
      <c r="G42" s="29"/>
      <c r="H42" s="29"/>
      <c r="I42" s="29"/>
      <c r="J42" s="23" t="s">
        <v>231</v>
      </c>
      <c r="K42" s="29"/>
      <c r="L42" s="21" t="s">
        <v>232</v>
      </c>
      <c r="M42" s="29"/>
      <c r="N42" s="29"/>
      <c r="O42" s="29"/>
      <c r="P42" s="29"/>
      <c r="Q42" s="24" t="s">
        <v>186</v>
      </c>
      <c r="R42" s="27"/>
      <c r="S42" s="25" t="s">
        <v>195</v>
      </c>
      <c r="T42" s="26">
        <v>134433.60000000001</v>
      </c>
      <c r="U42" s="100">
        <v>43374</v>
      </c>
      <c r="V42" s="100">
        <v>44469</v>
      </c>
      <c r="W42" s="28">
        <f>111087.6+8477.5+1695.5+1695.5+1695.5+1695.5</f>
        <v>126347.1</v>
      </c>
    </row>
    <row r="43" spans="1:23" s="25" customFormat="1" ht="60" customHeight="1">
      <c r="A43" s="25" t="s">
        <v>233</v>
      </c>
      <c r="B43" s="29">
        <v>80204250585</v>
      </c>
      <c r="C43" s="22" t="s">
        <v>83</v>
      </c>
      <c r="D43" s="22" t="s">
        <v>234</v>
      </c>
      <c r="E43" s="21" t="s">
        <v>48</v>
      </c>
      <c r="F43" s="22"/>
      <c r="I43" s="29"/>
      <c r="J43" s="23" t="s">
        <v>90</v>
      </c>
      <c r="L43" s="22" t="s">
        <v>91</v>
      </c>
      <c r="N43" s="29"/>
      <c r="Q43" s="24" t="s">
        <v>90</v>
      </c>
      <c r="S43" s="25" t="s">
        <v>91</v>
      </c>
      <c r="T43" s="26">
        <v>3912.48</v>
      </c>
      <c r="U43" s="100"/>
      <c r="V43" s="100"/>
      <c r="W43" s="28">
        <v>0</v>
      </c>
    </row>
    <row r="44" spans="1:23" s="25" customFormat="1" ht="90" customHeight="1">
      <c r="A44" s="25" t="s">
        <v>236</v>
      </c>
      <c r="B44" s="29">
        <v>80204250585</v>
      </c>
      <c r="C44" s="22" t="s">
        <v>83</v>
      </c>
      <c r="D44" s="22" t="s">
        <v>237</v>
      </c>
      <c r="E44" s="21" t="s">
        <v>51</v>
      </c>
      <c r="F44" s="22"/>
      <c r="I44" s="29"/>
      <c r="J44" s="23" t="s">
        <v>90</v>
      </c>
      <c r="L44" s="22" t="s">
        <v>91</v>
      </c>
      <c r="N44" s="29"/>
      <c r="Q44" s="24" t="s">
        <v>90</v>
      </c>
      <c r="S44" s="25" t="s">
        <v>91</v>
      </c>
      <c r="T44" s="26">
        <v>188349.31</v>
      </c>
      <c r="U44" s="100"/>
      <c r="V44" s="100"/>
      <c r="W44" s="28">
        <f>588.72+1373.76+114+1081.68+28290.63</f>
        <v>31448.79</v>
      </c>
    </row>
    <row r="45" spans="1:23" s="25" customFormat="1" ht="90" customHeight="1">
      <c r="A45" s="25" t="s">
        <v>238</v>
      </c>
      <c r="B45" s="29">
        <v>80204250585</v>
      </c>
      <c r="C45" s="22" t="s">
        <v>83</v>
      </c>
      <c r="D45" s="22" t="s">
        <v>239</v>
      </c>
      <c r="E45" s="21" t="s">
        <v>51</v>
      </c>
      <c r="F45" s="22"/>
      <c r="I45" s="29"/>
      <c r="J45" s="23" t="s">
        <v>240</v>
      </c>
      <c r="L45" s="22" t="s">
        <v>241</v>
      </c>
      <c r="N45" s="29"/>
      <c r="Q45" s="24" t="s">
        <v>240</v>
      </c>
      <c r="R45" s="27"/>
      <c r="S45" s="25" t="s">
        <v>241</v>
      </c>
      <c r="T45" s="26">
        <v>98000</v>
      </c>
      <c r="U45" s="100">
        <v>43617</v>
      </c>
      <c r="V45" s="100">
        <v>44471</v>
      </c>
      <c r="W45" s="28">
        <f>2469.5+2591.83+2423.62+2416.14+2082.13+2622.65+2426.54+2440.34+2356.08+2316.95+2365.42+1991.27+2330.75</f>
        <v>30833.220000000005</v>
      </c>
    </row>
    <row r="46" spans="1:23" s="25" customFormat="1" ht="90" customHeight="1">
      <c r="A46" s="25" t="s">
        <v>242</v>
      </c>
      <c r="B46" s="29">
        <v>80204250585</v>
      </c>
      <c r="C46" s="22" t="s">
        <v>83</v>
      </c>
      <c r="D46" s="22" t="s">
        <v>219</v>
      </c>
      <c r="E46" s="21" t="s">
        <v>48</v>
      </c>
      <c r="F46" s="22"/>
      <c r="I46" s="29"/>
      <c r="J46" s="23" t="s">
        <v>220</v>
      </c>
      <c r="L46" s="22" t="s">
        <v>221</v>
      </c>
      <c r="N46" s="29"/>
      <c r="Q46" s="24" t="s">
        <v>220</v>
      </c>
      <c r="R46" s="27"/>
      <c r="S46" s="25" t="s">
        <v>221</v>
      </c>
      <c r="T46" s="26">
        <v>21246.87</v>
      </c>
      <c r="U46" s="100">
        <v>43556</v>
      </c>
      <c r="V46" s="100">
        <v>43646</v>
      </c>
      <c r="W46" s="28">
        <v>11595.28</v>
      </c>
    </row>
    <row r="47" spans="1:23" s="25" customFormat="1" ht="180" customHeight="1">
      <c r="A47" s="29" t="s">
        <v>243</v>
      </c>
      <c r="B47" s="29">
        <v>80204250585</v>
      </c>
      <c r="C47" s="21" t="s">
        <v>83</v>
      </c>
      <c r="D47" s="21" t="s">
        <v>244</v>
      </c>
      <c r="E47" s="21" t="s">
        <v>36</v>
      </c>
      <c r="F47" s="21"/>
      <c r="G47" s="29"/>
      <c r="H47" s="29"/>
      <c r="I47" s="29"/>
      <c r="J47" s="23" t="s">
        <v>684</v>
      </c>
      <c r="K47" s="29"/>
      <c r="L47" s="21" t="s">
        <v>683</v>
      </c>
      <c r="M47" s="29"/>
      <c r="N47" s="29"/>
      <c r="O47" s="29"/>
      <c r="P47" s="29"/>
      <c r="Q47" s="24" t="s">
        <v>245</v>
      </c>
      <c r="R47" s="29"/>
      <c r="S47" s="29" t="s">
        <v>246</v>
      </c>
      <c r="T47" s="26">
        <v>1800000</v>
      </c>
      <c r="U47" s="100">
        <v>43101</v>
      </c>
      <c r="V47" s="100">
        <v>44196</v>
      </c>
      <c r="W47" s="28">
        <v>120460</v>
      </c>
    </row>
    <row r="48" spans="1:23" s="25" customFormat="1" ht="90" customHeight="1">
      <c r="A48" s="29" t="s">
        <v>252</v>
      </c>
      <c r="B48" s="29">
        <v>80204250585</v>
      </c>
      <c r="C48" s="21" t="s">
        <v>83</v>
      </c>
      <c r="D48" s="21" t="s">
        <v>253</v>
      </c>
      <c r="E48" s="21" t="s">
        <v>39</v>
      </c>
      <c r="F48" s="21"/>
      <c r="G48" s="29"/>
      <c r="H48" s="29"/>
      <c r="I48" s="29"/>
      <c r="J48" s="23"/>
      <c r="K48" s="29"/>
      <c r="L48" s="21" t="s">
        <v>254</v>
      </c>
      <c r="M48" s="29"/>
      <c r="N48" s="29"/>
      <c r="O48" s="29"/>
      <c r="P48" s="29"/>
      <c r="Q48" s="24"/>
      <c r="R48" s="29"/>
      <c r="S48" s="29" t="s">
        <v>254</v>
      </c>
      <c r="T48" s="26">
        <v>11168.44</v>
      </c>
      <c r="U48" s="100">
        <v>43101</v>
      </c>
      <c r="V48" s="100">
        <v>43465</v>
      </c>
      <c r="W48" s="28">
        <v>11168.44</v>
      </c>
    </row>
    <row r="49" spans="1:23" s="25" customFormat="1" ht="120" customHeight="1">
      <c r="A49" s="29" t="s">
        <v>257</v>
      </c>
      <c r="B49" s="29">
        <v>80204250585</v>
      </c>
      <c r="C49" s="21" t="s">
        <v>83</v>
      </c>
      <c r="D49" s="21" t="s">
        <v>258</v>
      </c>
      <c r="E49" s="21" t="s">
        <v>39</v>
      </c>
      <c r="F49" s="21"/>
      <c r="G49" s="29"/>
      <c r="H49" s="29"/>
      <c r="I49" s="29"/>
      <c r="J49" s="23"/>
      <c r="K49" s="29"/>
      <c r="L49" s="21" t="s">
        <v>259</v>
      </c>
      <c r="M49" s="29"/>
      <c r="N49" s="29"/>
      <c r="O49" s="29"/>
      <c r="P49" s="29"/>
      <c r="Q49" s="24"/>
      <c r="R49" s="29"/>
      <c r="S49" s="29" t="s">
        <v>259</v>
      </c>
      <c r="T49" s="26">
        <v>7300</v>
      </c>
      <c r="U49" s="100">
        <v>43101</v>
      </c>
      <c r="V49" s="100">
        <v>43465</v>
      </c>
      <c r="W49" s="28">
        <v>3650</v>
      </c>
    </row>
    <row r="50" spans="1:23" s="25" customFormat="1" ht="75" customHeight="1">
      <c r="A50" s="29" t="s">
        <v>263</v>
      </c>
      <c r="B50" s="29">
        <v>80204250585</v>
      </c>
      <c r="C50" s="21" t="s">
        <v>83</v>
      </c>
      <c r="D50" s="21" t="s">
        <v>264</v>
      </c>
      <c r="E50" s="21" t="s">
        <v>39</v>
      </c>
      <c r="F50" s="21"/>
      <c r="G50" s="29"/>
      <c r="H50" s="29"/>
      <c r="I50" s="29"/>
      <c r="J50" s="23" t="s">
        <v>261</v>
      </c>
      <c r="K50" s="29"/>
      <c r="L50" s="22" t="s">
        <v>262</v>
      </c>
      <c r="M50" s="29"/>
      <c r="N50" s="29"/>
      <c r="O50" s="29"/>
      <c r="P50" s="29"/>
      <c r="Q50" s="24" t="s">
        <v>261</v>
      </c>
      <c r="R50" s="29"/>
      <c r="S50" s="25" t="s">
        <v>262</v>
      </c>
      <c r="T50" s="26">
        <v>87512</v>
      </c>
      <c r="U50" s="100">
        <v>43088</v>
      </c>
      <c r="V50" s="100">
        <v>44548</v>
      </c>
      <c r="W50" s="28">
        <f>32792+5243.25+5243.25+192.2+5243.25+2666.4+5243.25+(5243.25*2)+500.69+3395+202.59+5243.25</f>
        <v>76451.63</v>
      </c>
    </row>
    <row r="51" spans="1:23" s="25" customFormat="1" ht="75" customHeight="1">
      <c r="A51" s="29" t="s">
        <v>265</v>
      </c>
      <c r="B51" s="29">
        <v>80204250585</v>
      </c>
      <c r="C51" s="21" t="s">
        <v>83</v>
      </c>
      <c r="D51" s="21" t="s">
        <v>266</v>
      </c>
      <c r="E51" s="21" t="s">
        <v>48</v>
      </c>
      <c r="F51" s="21"/>
      <c r="G51" s="29"/>
      <c r="H51" s="29"/>
      <c r="I51" s="29"/>
      <c r="J51" s="23"/>
      <c r="K51" s="29"/>
      <c r="L51" s="21"/>
      <c r="M51" s="29"/>
      <c r="N51" s="29"/>
      <c r="O51" s="29"/>
      <c r="P51" s="29"/>
      <c r="Q51" s="24"/>
      <c r="R51" s="29"/>
      <c r="S51" s="29"/>
      <c r="T51" s="26">
        <v>26300.799999999999</v>
      </c>
      <c r="U51" s="100"/>
      <c r="V51" s="100"/>
      <c r="W51" s="28">
        <v>0</v>
      </c>
    </row>
    <row r="52" spans="1:23" s="25" customFormat="1" ht="75" customHeight="1">
      <c r="A52" s="53" t="s">
        <v>271</v>
      </c>
      <c r="B52" s="29">
        <v>80204250585</v>
      </c>
      <c r="C52" s="21" t="s">
        <v>267</v>
      </c>
      <c r="D52" s="21" t="s">
        <v>272</v>
      </c>
      <c r="E52" s="21" t="s">
        <v>48</v>
      </c>
      <c r="F52" s="21"/>
      <c r="H52" s="29"/>
      <c r="I52" s="29"/>
      <c r="J52" s="23"/>
      <c r="K52" s="29"/>
      <c r="L52" s="21"/>
      <c r="M52" s="29"/>
      <c r="O52" s="29"/>
      <c r="P52" s="29"/>
      <c r="Q52" s="24" t="s">
        <v>693</v>
      </c>
      <c r="R52" s="29"/>
      <c r="S52" s="29" t="s">
        <v>273</v>
      </c>
      <c r="T52" s="26">
        <v>23200</v>
      </c>
      <c r="U52" s="100">
        <v>43108</v>
      </c>
      <c r="V52" s="100">
        <v>43179</v>
      </c>
      <c r="W52" s="28">
        <v>0</v>
      </c>
    </row>
    <row r="53" spans="1:23" s="25" customFormat="1" ht="60" customHeight="1">
      <c r="A53" s="53" t="s">
        <v>666</v>
      </c>
      <c r="B53" s="29">
        <v>80204250585</v>
      </c>
      <c r="C53" s="21" t="s">
        <v>267</v>
      </c>
      <c r="D53" s="21" t="s">
        <v>274</v>
      </c>
      <c r="E53" s="21" t="s">
        <v>48</v>
      </c>
      <c r="F53" s="21"/>
      <c r="H53" s="29"/>
      <c r="I53" s="29"/>
      <c r="J53" s="23"/>
      <c r="K53" s="29"/>
      <c r="L53" s="21"/>
      <c r="M53" s="29"/>
      <c r="O53" s="29"/>
      <c r="P53" s="29"/>
      <c r="Q53" s="24" t="s">
        <v>220</v>
      </c>
      <c r="R53" s="29"/>
      <c r="S53" s="29" t="s">
        <v>275</v>
      </c>
      <c r="T53" s="26">
        <v>3380.0000000000005</v>
      </c>
      <c r="U53" s="100">
        <v>43117</v>
      </c>
      <c r="V53" s="100">
        <v>43131</v>
      </c>
      <c r="W53" s="28">
        <v>0</v>
      </c>
    </row>
    <row r="54" spans="1:23" s="25" customFormat="1" ht="90" customHeight="1">
      <c r="A54" s="31">
        <v>7363339391</v>
      </c>
      <c r="B54" s="29">
        <v>80204250585</v>
      </c>
      <c r="C54" s="21" t="s">
        <v>267</v>
      </c>
      <c r="D54" s="21" t="s">
        <v>276</v>
      </c>
      <c r="E54" s="21" t="s">
        <v>39</v>
      </c>
      <c r="F54" s="21"/>
      <c r="H54" s="29"/>
      <c r="I54" s="29"/>
      <c r="J54" s="23" t="s">
        <v>277</v>
      </c>
      <c r="K54" s="29"/>
      <c r="L54" s="21" t="s">
        <v>278</v>
      </c>
      <c r="M54" s="29"/>
      <c r="O54" s="29"/>
      <c r="P54" s="29"/>
      <c r="Q54" s="24" t="s">
        <v>277</v>
      </c>
      <c r="R54" s="29"/>
      <c r="S54" s="29" t="s">
        <v>278</v>
      </c>
      <c r="T54" s="26">
        <v>56000</v>
      </c>
      <c r="U54" s="100">
        <v>43150</v>
      </c>
      <c r="V54" s="100">
        <v>43514</v>
      </c>
      <c r="W54" s="28">
        <v>42000</v>
      </c>
    </row>
    <row r="55" spans="1:23" s="25" customFormat="1" ht="75" customHeight="1">
      <c r="A55" s="53" t="s">
        <v>279</v>
      </c>
      <c r="B55" s="29">
        <v>80204250585</v>
      </c>
      <c r="C55" s="21" t="s">
        <v>267</v>
      </c>
      <c r="D55" s="21" t="s">
        <v>280</v>
      </c>
      <c r="E55" s="21" t="s">
        <v>39</v>
      </c>
      <c r="F55" s="21"/>
      <c r="H55" s="29"/>
      <c r="I55" s="29"/>
      <c r="J55" s="23" t="s">
        <v>281</v>
      </c>
      <c r="K55" s="29"/>
      <c r="L55" s="21" t="s">
        <v>282</v>
      </c>
      <c r="M55" s="29"/>
      <c r="O55" s="29"/>
      <c r="P55" s="29"/>
      <c r="Q55" s="24" t="s">
        <v>281</v>
      </c>
      <c r="R55" s="29"/>
      <c r="S55" s="29" t="s">
        <v>1179</v>
      </c>
      <c r="T55" s="26">
        <v>135000</v>
      </c>
      <c r="U55" s="100">
        <v>43153</v>
      </c>
      <c r="V55" s="100">
        <v>44248</v>
      </c>
      <c r="W55" s="28">
        <f>82500+7500+7500+7500+7500+7500+7500</f>
        <v>127500</v>
      </c>
    </row>
    <row r="56" spans="1:23" s="25" customFormat="1" ht="75" customHeight="1">
      <c r="A56" s="53" t="s">
        <v>283</v>
      </c>
      <c r="B56" s="29">
        <v>80204250585</v>
      </c>
      <c r="C56" s="21" t="s">
        <v>267</v>
      </c>
      <c r="D56" s="21" t="s">
        <v>284</v>
      </c>
      <c r="E56" s="21" t="s">
        <v>39</v>
      </c>
      <c r="F56" s="21"/>
      <c r="H56" s="29"/>
      <c r="I56" s="29"/>
      <c r="J56" s="23"/>
      <c r="K56" s="29"/>
      <c r="L56" s="21"/>
      <c r="M56" s="29"/>
      <c r="O56" s="29"/>
      <c r="P56" s="29"/>
      <c r="Q56" s="24" t="s">
        <v>694</v>
      </c>
      <c r="R56" s="29"/>
      <c r="S56" s="29" t="s">
        <v>285</v>
      </c>
      <c r="T56" s="26">
        <v>7067.9999999999991</v>
      </c>
      <c r="U56" s="100">
        <v>43159</v>
      </c>
      <c r="V56" s="100">
        <v>44254</v>
      </c>
      <c r="W56" s="28">
        <v>7068</v>
      </c>
    </row>
    <row r="57" spans="1:23" s="25" customFormat="1" ht="45" customHeight="1">
      <c r="A57" s="53" t="s">
        <v>286</v>
      </c>
      <c r="B57" s="29">
        <v>80204250585</v>
      </c>
      <c r="C57" s="21" t="s">
        <v>267</v>
      </c>
      <c r="D57" s="21" t="s">
        <v>287</v>
      </c>
      <c r="E57" s="21" t="s">
        <v>39</v>
      </c>
      <c r="F57" s="21"/>
      <c r="H57" s="29"/>
      <c r="I57" s="29"/>
      <c r="J57" s="23" t="s">
        <v>288</v>
      </c>
      <c r="K57" s="29"/>
      <c r="L57" s="21" t="s">
        <v>270</v>
      </c>
      <c r="M57" s="29"/>
      <c r="O57" s="29"/>
      <c r="P57" s="29"/>
      <c r="Q57" s="24" t="s">
        <v>288</v>
      </c>
      <c r="R57" s="29"/>
      <c r="S57" s="29" t="s">
        <v>270</v>
      </c>
      <c r="T57" s="26">
        <v>5625</v>
      </c>
      <c r="U57" s="100">
        <v>43160</v>
      </c>
      <c r="V57" s="100">
        <v>43343</v>
      </c>
      <c r="W57" s="28">
        <v>4687.5</v>
      </c>
    </row>
    <row r="58" spans="1:23" s="25" customFormat="1" ht="60" customHeight="1">
      <c r="A58" s="53" t="s">
        <v>290</v>
      </c>
      <c r="B58" s="29">
        <v>80204250585</v>
      </c>
      <c r="C58" s="21" t="s">
        <v>267</v>
      </c>
      <c r="D58" s="21" t="s">
        <v>291</v>
      </c>
      <c r="E58" s="21" t="s">
        <v>48</v>
      </c>
      <c r="F58" s="21"/>
      <c r="H58" s="29"/>
      <c r="I58" s="29"/>
      <c r="J58" s="23">
        <v>13888401000</v>
      </c>
      <c r="K58" s="29"/>
      <c r="L58" s="21" t="s">
        <v>292</v>
      </c>
      <c r="M58" s="29"/>
      <c r="O58" s="29"/>
      <c r="P58" s="29"/>
      <c r="Q58" s="24">
        <v>13888401000</v>
      </c>
      <c r="R58" s="29"/>
      <c r="S58" s="29" t="s">
        <v>292</v>
      </c>
      <c r="T58" s="26">
        <v>2280</v>
      </c>
      <c r="U58" s="100">
        <v>43200</v>
      </c>
      <c r="V58" s="100">
        <v>43229</v>
      </c>
      <c r="W58" s="28">
        <v>0</v>
      </c>
    </row>
    <row r="59" spans="1:23" s="25" customFormat="1" ht="60" customHeight="1">
      <c r="A59" s="53" t="s">
        <v>293</v>
      </c>
      <c r="B59" s="29">
        <v>80204250585</v>
      </c>
      <c r="C59" s="21" t="s">
        <v>267</v>
      </c>
      <c r="D59" s="21" t="s">
        <v>294</v>
      </c>
      <c r="E59" s="21" t="s">
        <v>38</v>
      </c>
      <c r="F59" s="21"/>
      <c r="H59" s="29"/>
      <c r="I59" s="29"/>
      <c r="J59" s="23"/>
      <c r="K59" s="29"/>
      <c r="L59" s="21"/>
      <c r="M59" s="29"/>
      <c r="O59" s="29"/>
      <c r="P59" s="29"/>
      <c r="Q59" s="24">
        <v>11334081004</v>
      </c>
      <c r="R59" s="29"/>
      <c r="S59" s="29" t="s">
        <v>295</v>
      </c>
      <c r="T59" s="26">
        <v>32262.295081967215</v>
      </c>
      <c r="U59" s="100">
        <v>43221</v>
      </c>
      <c r="V59" s="100">
        <v>43616</v>
      </c>
      <c r="W59" s="28">
        <f>8680+672.13</f>
        <v>9352.1299999999992</v>
      </c>
    </row>
    <row r="60" spans="1:23" s="25" customFormat="1" ht="30" customHeight="1">
      <c r="A60" s="53" t="s">
        <v>297</v>
      </c>
      <c r="B60" s="29">
        <v>80204250585</v>
      </c>
      <c r="C60" s="21" t="s">
        <v>83</v>
      </c>
      <c r="D60" s="21" t="s">
        <v>298</v>
      </c>
      <c r="E60" s="21" t="s">
        <v>48</v>
      </c>
      <c r="F60" s="21"/>
      <c r="G60" s="29"/>
      <c r="H60" s="29"/>
      <c r="I60" s="29"/>
      <c r="J60" s="23" t="s">
        <v>90</v>
      </c>
      <c r="K60" s="29"/>
      <c r="L60" s="22" t="s">
        <v>91</v>
      </c>
      <c r="M60" s="29"/>
      <c r="N60" s="29"/>
      <c r="O60" s="29"/>
      <c r="P60" s="29"/>
      <c r="Q60" s="24" t="s">
        <v>90</v>
      </c>
      <c r="R60" s="29"/>
      <c r="S60" s="25" t="s">
        <v>91</v>
      </c>
      <c r="T60" s="26">
        <v>21000</v>
      </c>
      <c r="U60" s="100">
        <v>42826</v>
      </c>
      <c r="V60" s="100">
        <v>43496</v>
      </c>
      <c r="W60" s="28">
        <v>5018.0600000000004</v>
      </c>
    </row>
    <row r="61" spans="1:23" s="25" customFormat="1" ht="60" customHeight="1">
      <c r="A61" s="31">
        <v>7415208737</v>
      </c>
      <c r="B61" s="29">
        <v>80204250585</v>
      </c>
      <c r="C61" s="21" t="s">
        <v>267</v>
      </c>
      <c r="D61" s="21" t="s">
        <v>299</v>
      </c>
      <c r="E61" s="21" t="s">
        <v>51</v>
      </c>
      <c r="F61" s="21"/>
      <c r="H61" s="29"/>
      <c r="I61" s="29"/>
      <c r="J61" s="23"/>
      <c r="K61" s="29"/>
      <c r="L61" s="21"/>
      <c r="M61" s="29"/>
      <c r="O61" s="29"/>
      <c r="P61" s="29"/>
      <c r="Q61" s="24" t="s">
        <v>586</v>
      </c>
      <c r="R61" s="29"/>
      <c r="S61" s="29" t="s">
        <v>300</v>
      </c>
      <c r="T61" s="26">
        <v>31299</v>
      </c>
      <c r="U61" s="100">
        <v>43214</v>
      </c>
      <c r="V61" s="100"/>
      <c r="W61" s="28">
        <v>31299</v>
      </c>
    </row>
    <row r="62" spans="1:23" s="25" customFormat="1" ht="60" customHeight="1">
      <c r="A62" s="53" t="s">
        <v>301</v>
      </c>
      <c r="B62" s="29">
        <v>80204250585</v>
      </c>
      <c r="C62" s="21" t="s">
        <v>267</v>
      </c>
      <c r="D62" s="21" t="s">
        <v>302</v>
      </c>
      <c r="E62" s="21" t="s">
        <v>51</v>
      </c>
      <c r="F62" s="21"/>
      <c r="H62" s="29"/>
      <c r="I62" s="29"/>
      <c r="J62" s="23"/>
      <c r="K62" s="29"/>
      <c r="L62" s="21"/>
      <c r="M62" s="29"/>
      <c r="O62" s="29"/>
      <c r="P62" s="29"/>
      <c r="Q62" s="24" t="s">
        <v>303</v>
      </c>
      <c r="R62" s="60"/>
      <c r="S62" s="29" t="s">
        <v>304</v>
      </c>
      <c r="T62" s="26">
        <v>24636.9</v>
      </c>
      <c r="U62" s="100">
        <v>43213</v>
      </c>
      <c r="V62" s="100"/>
      <c r="W62" s="28">
        <v>23733.9</v>
      </c>
    </row>
    <row r="63" spans="1:23" s="25" customFormat="1" ht="60" customHeight="1">
      <c r="A63" s="31">
        <v>7415220120</v>
      </c>
      <c r="B63" s="29">
        <v>80204250585</v>
      </c>
      <c r="C63" s="21" t="s">
        <v>267</v>
      </c>
      <c r="D63" s="21" t="s">
        <v>305</v>
      </c>
      <c r="E63" s="21" t="s">
        <v>51</v>
      </c>
      <c r="F63" s="21"/>
      <c r="H63" s="29"/>
      <c r="I63" s="29"/>
      <c r="J63" s="23"/>
      <c r="K63" s="29"/>
      <c r="L63" s="21"/>
      <c r="M63" s="29"/>
      <c r="O63" s="29"/>
      <c r="P63" s="29"/>
      <c r="Q63" s="24" t="s">
        <v>306</v>
      </c>
      <c r="R63" s="29"/>
      <c r="S63" s="29" t="s">
        <v>307</v>
      </c>
      <c r="T63" s="26">
        <v>13799.96</v>
      </c>
      <c r="U63" s="100">
        <v>43185</v>
      </c>
      <c r="V63" s="100"/>
      <c r="W63" s="28">
        <v>13799.96</v>
      </c>
    </row>
    <row r="64" spans="1:23" s="25" customFormat="1" ht="315" customHeight="1">
      <c r="A64" s="53" t="s">
        <v>308</v>
      </c>
      <c r="B64" s="29">
        <v>80204250585</v>
      </c>
      <c r="C64" s="21" t="s">
        <v>267</v>
      </c>
      <c r="D64" s="21" t="s">
        <v>309</v>
      </c>
      <c r="E64" s="21" t="s">
        <v>48</v>
      </c>
      <c r="F64" s="21"/>
      <c r="H64" s="29"/>
      <c r="I64" s="29"/>
      <c r="J64" s="23" t="s">
        <v>310</v>
      </c>
      <c r="K64" s="29"/>
      <c r="L64" s="21" t="s">
        <v>311</v>
      </c>
      <c r="M64" s="29"/>
      <c r="O64" s="29"/>
      <c r="P64" s="29"/>
      <c r="Q64" s="24" t="s">
        <v>182</v>
      </c>
      <c r="R64" s="29"/>
      <c r="S64" s="29" t="s">
        <v>312</v>
      </c>
      <c r="T64" s="26">
        <v>134775</v>
      </c>
      <c r="U64" s="100">
        <v>43229</v>
      </c>
      <c r="V64" s="100"/>
      <c r="W64" s="28">
        <v>0</v>
      </c>
    </row>
    <row r="65" spans="1:23" s="25" customFormat="1" ht="135" customHeight="1">
      <c r="A65" s="53" t="s">
        <v>313</v>
      </c>
      <c r="B65" s="29">
        <v>80204250585</v>
      </c>
      <c r="C65" s="21" t="s">
        <v>267</v>
      </c>
      <c r="D65" s="21" t="s">
        <v>314</v>
      </c>
      <c r="E65" s="21" t="s">
        <v>48</v>
      </c>
      <c r="F65" s="21"/>
      <c r="H65" s="29"/>
      <c r="I65" s="29"/>
      <c r="J65" s="23" t="s">
        <v>685</v>
      </c>
      <c r="K65" s="29"/>
      <c r="L65" s="21" t="s">
        <v>686</v>
      </c>
      <c r="M65" s="29"/>
      <c r="O65" s="29"/>
      <c r="P65" s="29"/>
      <c r="Q65" s="24" t="s">
        <v>315</v>
      </c>
      <c r="R65" s="29"/>
      <c r="S65" s="29" t="s">
        <v>316</v>
      </c>
      <c r="T65" s="26">
        <v>51288</v>
      </c>
      <c r="U65" s="100">
        <v>43150</v>
      </c>
      <c r="V65" s="100">
        <v>44245</v>
      </c>
      <c r="W65" s="28">
        <f>61457.336+10229.3</f>
        <v>71686.635999999999</v>
      </c>
    </row>
    <row r="66" spans="1:23" s="25" customFormat="1" ht="60" customHeight="1">
      <c r="A66" s="53" t="s">
        <v>317</v>
      </c>
      <c r="B66" s="29">
        <v>80204250585</v>
      </c>
      <c r="C66" s="21" t="s">
        <v>83</v>
      </c>
      <c r="D66" s="21" t="s">
        <v>318</v>
      </c>
      <c r="E66" s="21" t="s">
        <v>39</v>
      </c>
      <c r="F66" s="21"/>
      <c r="H66" s="29"/>
      <c r="I66" s="29"/>
      <c r="J66" s="23"/>
      <c r="K66" s="29"/>
      <c r="L66" s="21" t="s">
        <v>319</v>
      </c>
      <c r="M66" s="29"/>
      <c r="O66" s="29"/>
      <c r="P66" s="29"/>
      <c r="Q66" s="24"/>
      <c r="R66" s="29"/>
      <c r="S66" s="29" t="s">
        <v>319</v>
      </c>
      <c r="T66" s="26">
        <v>9768</v>
      </c>
      <c r="U66" s="100">
        <v>43160</v>
      </c>
      <c r="V66" s="100">
        <v>44255</v>
      </c>
      <c r="W66" s="28">
        <v>4237.5200000000004</v>
      </c>
    </row>
    <row r="67" spans="1:23" s="25" customFormat="1" ht="75" customHeight="1">
      <c r="A67" s="53" t="s">
        <v>320</v>
      </c>
      <c r="B67" s="29">
        <v>80204250585</v>
      </c>
      <c r="C67" s="21" t="s">
        <v>83</v>
      </c>
      <c r="D67" s="21" t="s">
        <v>326</v>
      </c>
      <c r="E67" s="21" t="s">
        <v>43</v>
      </c>
      <c r="F67" s="21"/>
      <c r="H67" s="29"/>
      <c r="I67" s="29"/>
      <c r="J67" s="23"/>
      <c r="K67" s="29"/>
      <c r="L67" s="21"/>
      <c r="M67" s="29"/>
      <c r="N67" s="29"/>
      <c r="O67" s="29"/>
      <c r="P67" s="29"/>
      <c r="Q67" s="24" t="s">
        <v>321</v>
      </c>
      <c r="R67" s="29"/>
      <c r="S67" s="29" t="s">
        <v>322</v>
      </c>
      <c r="T67" s="26">
        <v>116006.39999999999</v>
      </c>
      <c r="U67" s="100">
        <v>43709</v>
      </c>
      <c r="V67" s="100">
        <v>44043</v>
      </c>
      <c r="W67" s="28">
        <f>30240.21+346.67+8047.75+6215.34+3144.81+8022.98+10573.5+6887.88+9093.21+8972.37+755.25+422.94+241.68</f>
        <v>92964.59</v>
      </c>
    </row>
    <row r="68" spans="1:23" s="25" customFormat="1" ht="75" customHeight="1">
      <c r="A68" s="29" t="s">
        <v>323</v>
      </c>
      <c r="B68" s="29">
        <v>80204250585</v>
      </c>
      <c r="C68" s="21" t="s">
        <v>83</v>
      </c>
      <c r="D68" s="21" t="s">
        <v>327</v>
      </c>
      <c r="E68" s="21" t="s">
        <v>43</v>
      </c>
      <c r="F68" s="21"/>
      <c r="H68" s="29"/>
      <c r="I68" s="29"/>
      <c r="J68" s="23"/>
      <c r="K68" s="29"/>
      <c r="L68" s="21"/>
      <c r="M68" s="29"/>
      <c r="N68" s="29"/>
      <c r="O68" s="29"/>
      <c r="P68" s="29"/>
      <c r="Q68" s="24" t="s">
        <v>324</v>
      </c>
      <c r="R68" s="29"/>
      <c r="S68" s="29" t="s">
        <v>325</v>
      </c>
      <c r="T68" s="26">
        <v>25730.1</v>
      </c>
      <c r="U68" s="100">
        <v>43709</v>
      </c>
      <c r="V68" s="100">
        <v>44043</v>
      </c>
      <c r="W68" s="28">
        <f>9005.55+1451.87+504.34+1650.54+1833.93+1742.24+447.48+2069.6+2181.47+1174.64</f>
        <v>22061.66</v>
      </c>
    </row>
    <row r="69" spans="1:23" s="25" customFormat="1" ht="45" customHeight="1">
      <c r="A69" s="53" t="s">
        <v>331</v>
      </c>
      <c r="B69" s="29">
        <v>80204250585</v>
      </c>
      <c r="C69" s="21" t="s">
        <v>83</v>
      </c>
      <c r="D69" s="21" t="s">
        <v>332</v>
      </c>
      <c r="E69" s="21" t="s">
        <v>48</v>
      </c>
      <c r="F69" s="21"/>
      <c r="H69" s="29"/>
      <c r="I69" s="29"/>
      <c r="J69" s="23" t="s">
        <v>329</v>
      </c>
      <c r="K69" s="29"/>
      <c r="L69" s="21" t="s">
        <v>333</v>
      </c>
      <c r="M69" s="29"/>
      <c r="O69" s="29"/>
      <c r="P69" s="29"/>
      <c r="Q69" s="24" t="s">
        <v>329</v>
      </c>
      <c r="R69" s="29"/>
      <c r="S69" s="29" t="s">
        <v>334</v>
      </c>
      <c r="T69" s="26">
        <v>36000</v>
      </c>
      <c r="U69" s="100">
        <v>43084</v>
      </c>
      <c r="V69" s="100">
        <v>43813</v>
      </c>
      <c r="W69" s="28">
        <v>27000</v>
      </c>
    </row>
    <row r="70" spans="1:23" s="25" customFormat="1" ht="60" customHeight="1">
      <c r="A70" s="53" t="s">
        <v>335</v>
      </c>
      <c r="B70" s="29">
        <v>80204250585</v>
      </c>
      <c r="C70" s="21" t="s">
        <v>267</v>
      </c>
      <c r="D70" s="21" t="s">
        <v>336</v>
      </c>
      <c r="E70" s="21" t="s">
        <v>48</v>
      </c>
      <c r="F70" s="22"/>
      <c r="J70" s="23"/>
      <c r="K70" s="29"/>
      <c r="L70" s="22"/>
      <c r="Q70" s="24" t="s">
        <v>692</v>
      </c>
      <c r="R70" s="29"/>
      <c r="S70" s="25" t="s">
        <v>337</v>
      </c>
      <c r="T70" s="26">
        <v>18000</v>
      </c>
      <c r="U70" s="100">
        <v>43250</v>
      </c>
      <c r="V70" s="100">
        <v>43982</v>
      </c>
      <c r="W70" s="28">
        <v>9000</v>
      </c>
    </row>
    <row r="71" spans="1:23" s="25" customFormat="1" ht="60" customHeight="1">
      <c r="A71" s="53" t="s">
        <v>338</v>
      </c>
      <c r="B71" s="29">
        <v>80204250585</v>
      </c>
      <c r="C71" s="21" t="s">
        <v>267</v>
      </c>
      <c r="D71" s="21" t="s">
        <v>339</v>
      </c>
      <c r="E71" s="21" t="s">
        <v>48</v>
      </c>
      <c r="F71" s="22"/>
      <c r="J71" s="23"/>
      <c r="K71" s="29"/>
      <c r="L71" s="22"/>
      <c r="Q71" s="23" t="s">
        <v>152</v>
      </c>
      <c r="R71" s="29"/>
      <c r="S71" s="21" t="s">
        <v>260</v>
      </c>
      <c r="T71" s="26">
        <v>38888.85</v>
      </c>
      <c r="U71" s="100">
        <v>43252</v>
      </c>
      <c r="V71" s="100">
        <v>43982</v>
      </c>
      <c r="W71" s="28">
        <v>19209.669999999998</v>
      </c>
    </row>
    <row r="72" spans="1:23" s="25" customFormat="1" ht="105" customHeight="1">
      <c r="A72" s="53" t="s">
        <v>342</v>
      </c>
      <c r="B72" s="29">
        <v>80204250585</v>
      </c>
      <c r="C72" s="21" t="s">
        <v>267</v>
      </c>
      <c r="D72" s="21" t="s">
        <v>343</v>
      </c>
      <c r="E72" s="21" t="s">
        <v>48</v>
      </c>
      <c r="F72" s="22"/>
      <c r="J72" s="23" t="s">
        <v>696</v>
      </c>
      <c r="K72" s="29"/>
      <c r="L72" s="22" t="s">
        <v>344</v>
      </c>
      <c r="Q72" s="23" t="s">
        <v>696</v>
      </c>
      <c r="R72" s="29"/>
      <c r="S72" s="25" t="s">
        <v>344</v>
      </c>
      <c r="T72" s="26">
        <v>1173.3599999999999</v>
      </c>
      <c r="U72" s="100">
        <v>43270</v>
      </c>
      <c r="V72" s="100">
        <v>43312</v>
      </c>
      <c r="W72" s="28">
        <v>0</v>
      </c>
    </row>
    <row r="73" spans="1:23" s="25" customFormat="1" ht="92.25" customHeight="1">
      <c r="A73" s="53" t="s">
        <v>345</v>
      </c>
      <c r="B73" s="29">
        <v>80204250585</v>
      </c>
      <c r="C73" s="21" t="s">
        <v>267</v>
      </c>
      <c r="D73" s="21" t="s">
        <v>346</v>
      </c>
      <c r="E73" s="21" t="s">
        <v>48</v>
      </c>
      <c r="F73" s="22"/>
      <c r="J73" s="23"/>
      <c r="K73" s="29"/>
      <c r="L73" s="22"/>
      <c r="Q73" s="24" t="s">
        <v>347</v>
      </c>
      <c r="R73" s="29"/>
      <c r="S73" s="25" t="s">
        <v>348</v>
      </c>
      <c r="T73" s="26">
        <v>547.95081967213116</v>
      </c>
      <c r="U73" s="100">
        <v>43248</v>
      </c>
      <c r="V73" s="100">
        <v>43465</v>
      </c>
      <c r="W73" s="28">
        <v>0</v>
      </c>
    </row>
    <row r="74" spans="1:23" s="25" customFormat="1" ht="90" customHeight="1">
      <c r="A74" s="53" t="s">
        <v>349</v>
      </c>
      <c r="B74" s="29">
        <v>80204250585</v>
      </c>
      <c r="C74" s="21" t="s">
        <v>267</v>
      </c>
      <c r="D74" s="21" t="s">
        <v>350</v>
      </c>
      <c r="E74" s="21" t="s">
        <v>48</v>
      </c>
      <c r="F74" s="22"/>
      <c r="J74" s="23">
        <v>3533961003</v>
      </c>
      <c r="K74" s="29"/>
      <c r="L74" s="22" t="s">
        <v>275</v>
      </c>
      <c r="Q74" s="24" t="s">
        <v>220</v>
      </c>
      <c r="R74" s="29"/>
      <c r="S74" s="25" t="s">
        <v>275</v>
      </c>
      <c r="T74" s="26">
        <v>9947.67</v>
      </c>
      <c r="U74" s="100">
        <v>43191</v>
      </c>
      <c r="V74" s="100">
        <v>43312</v>
      </c>
      <c r="W74" s="28">
        <v>2283.7199999999998</v>
      </c>
    </row>
    <row r="75" spans="1:23" s="25" customFormat="1" ht="75" customHeight="1">
      <c r="A75" s="53" t="s">
        <v>351</v>
      </c>
      <c r="B75" s="29">
        <v>80204250585</v>
      </c>
      <c r="C75" s="21" t="s">
        <v>267</v>
      </c>
      <c r="D75" s="21" t="s">
        <v>352</v>
      </c>
      <c r="E75" s="21" t="s">
        <v>48</v>
      </c>
      <c r="F75" s="22"/>
      <c r="J75" s="23"/>
      <c r="K75" s="29"/>
      <c r="L75" s="22"/>
      <c r="Q75" s="24"/>
      <c r="R75" s="29"/>
      <c r="S75" s="25" t="s">
        <v>353</v>
      </c>
      <c r="T75" s="26">
        <v>22500</v>
      </c>
      <c r="U75" s="100">
        <v>43160</v>
      </c>
      <c r="V75" s="100">
        <v>44255</v>
      </c>
      <c r="W75" s="28">
        <f>19160+7000</f>
        <v>26160</v>
      </c>
    </row>
    <row r="76" spans="1:23" s="25" customFormat="1" ht="60" customHeight="1">
      <c r="A76" s="53" t="s">
        <v>1412</v>
      </c>
      <c r="B76" s="29">
        <v>80204250585</v>
      </c>
      <c r="C76" s="21" t="s">
        <v>267</v>
      </c>
      <c r="D76" s="21" t="s">
        <v>1413</v>
      </c>
      <c r="E76" s="21" t="s">
        <v>39</v>
      </c>
      <c r="F76" s="22"/>
      <c r="J76" s="23"/>
      <c r="K76" s="29"/>
      <c r="L76" s="22"/>
      <c r="Q76" s="22">
        <v>2313821007</v>
      </c>
      <c r="R76" s="22"/>
      <c r="S76" s="22" t="s">
        <v>640</v>
      </c>
      <c r="T76" s="26">
        <v>14000</v>
      </c>
      <c r="U76" s="100">
        <v>42736</v>
      </c>
      <c r="V76" s="100">
        <v>43100</v>
      </c>
      <c r="W76" s="28">
        <v>14000</v>
      </c>
    </row>
    <row r="77" spans="1:23" s="25" customFormat="1" ht="409.5" customHeight="1">
      <c r="A77" s="31">
        <v>7326923023</v>
      </c>
      <c r="B77" s="64">
        <v>80204250585</v>
      </c>
      <c r="C77" s="21" t="s">
        <v>267</v>
      </c>
      <c r="D77" s="21" t="s">
        <v>1414</v>
      </c>
      <c r="E77" s="21" t="s">
        <v>43</v>
      </c>
      <c r="F77" s="21" t="s">
        <v>1415</v>
      </c>
      <c r="G77" s="66"/>
      <c r="H77" s="64" t="s">
        <v>1416</v>
      </c>
      <c r="I77" s="64" t="s">
        <v>1417</v>
      </c>
      <c r="J77" s="23" t="s">
        <v>1418</v>
      </c>
      <c r="K77" s="64"/>
      <c r="L77" s="21" t="s">
        <v>1419</v>
      </c>
      <c r="M77" s="64" t="s">
        <v>1420</v>
      </c>
      <c r="N77" s="66"/>
      <c r="O77" s="64" t="s">
        <v>1421</v>
      </c>
      <c r="P77" s="64" t="s">
        <v>108</v>
      </c>
      <c r="Q77" s="24"/>
      <c r="R77" s="64"/>
      <c r="S77" s="29"/>
      <c r="T77" s="26">
        <v>323775.89</v>
      </c>
      <c r="U77" s="100">
        <v>43432</v>
      </c>
      <c r="V77" s="100">
        <v>43630</v>
      </c>
      <c r="W77" s="28">
        <v>328196</v>
      </c>
    </row>
    <row r="78" spans="1:23" s="25" customFormat="1" ht="60" customHeight="1">
      <c r="A78" s="66" t="s">
        <v>1422</v>
      </c>
      <c r="B78" s="64">
        <v>80204250585</v>
      </c>
      <c r="C78" s="21" t="s">
        <v>83</v>
      </c>
      <c r="D78" s="22" t="s">
        <v>1423</v>
      </c>
      <c r="E78" s="21" t="s">
        <v>51</v>
      </c>
      <c r="F78" s="22"/>
      <c r="G78" s="66"/>
      <c r="H78" s="66"/>
      <c r="I78" s="64"/>
      <c r="J78" s="23" t="s">
        <v>1424</v>
      </c>
      <c r="K78" s="66"/>
      <c r="L78" s="22" t="s">
        <v>1425</v>
      </c>
      <c r="M78" s="66"/>
      <c r="N78" s="64"/>
      <c r="O78" s="66"/>
      <c r="P78" s="66"/>
      <c r="Q78" s="24" t="s">
        <v>1424</v>
      </c>
      <c r="R78" s="71"/>
      <c r="S78" s="25" t="s">
        <v>1425</v>
      </c>
      <c r="T78" s="26">
        <v>532789.89</v>
      </c>
      <c r="U78" s="100">
        <v>42795</v>
      </c>
      <c r="V78" s="100">
        <v>43159</v>
      </c>
      <c r="W78" s="28">
        <f>337218.01+21092.46</f>
        <v>358310.47000000003</v>
      </c>
    </row>
    <row r="79" spans="1:23" s="25" customFormat="1" ht="60" customHeight="1">
      <c r="A79" s="66" t="s">
        <v>1426</v>
      </c>
      <c r="B79" s="64">
        <v>80204250585</v>
      </c>
      <c r="C79" s="21" t="s">
        <v>83</v>
      </c>
      <c r="D79" s="22" t="s">
        <v>1429</v>
      </c>
      <c r="E79" s="21" t="s">
        <v>58</v>
      </c>
      <c r="F79" s="22"/>
      <c r="G79" s="66"/>
      <c r="H79" s="66"/>
      <c r="I79" s="64"/>
      <c r="J79" s="23"/>
      <c r="K79" s="66"/>
      <c r="L79" s="22"/>
      <c r="M79" s="66"/>
      <c r="N79" s="64"/>
      <c r="O79" s="66"/>
      <c r="P79" s="66"/>
      <c r="Q79" s="37" t="s">
        <v>1431</v>
      </c>
      <c r="R79" s="71"/>
      <c r="S79" s="25" t="s">
        <v>1427</v>
      </c>
      <c r="T79" s="26">
        <v>39555.18</v>
      </c>
      <c r="U79" s="100">
        <v>42864</v>
      </c>
      <c r="V79" s="100">
        <v>43229</v>
      </c>
      <c r="W79" s="87">
        <v>39555.18</v>
      </c>
    </row>
    <row r="80" spans="1:23" s="25" customFormat="1" ht="60" customHeight="1">
      <c r="A80" s="66" t="s">
        <v>1428</v>
      </c>
      <c r="B80" s="64">
        <v>80204250585</v>
      </c>
      <c r="C80" s="21" t="s">
        <v>83</v>
      </c>
      <c r="D80" s="22" t="s">
        <v>1430</v>
      </c>
      <c r="E80" s="21" t="s">
        <v>58</v>
      </c>
      <c r="F80" s="22"/>
      <c r="G80" s="66"/>
      <c r="H80" s="66"/>
      <c r="I80" s="64"/>
      <c r="J80" s="23"/>
      <c r="K80" s="66"/>
      <c r="L80" s="22"/>
      <c r="M80" s="66"/>
      <c r="N80" s="64"/>
      <c r="O80" s="66"/>
      <c r="P80" s="66"/>
      <c r="Q80" s="37" t="s">
        <v>1431</v>
      </c>
      <c r="R80" s="71"/>
      <c r="S80" s="25" t="s">
        <v>1427</v>
      </c>
      <c r="T80" s="26">
        <v>9272.08</v>
      </c>
      <c r="U80" s="100">
        <v>42864</v>
      </c>
      <c r="V80" s="100">
        <v>43229</v>
      </c>
      <c r="W80" s="28">
        <v>9272.08</v>
      </c>
    </row>
    <row r="81" spans="1:23" s="25" customFormat="1" ht="45" customHeight="1">
      <c r="A81" s="25" t="s">
        <v>354</v>
      </c>
      <c r="B81" s="29">
        <v>80204250585</v>
      </c>
      <c r="C81" s="22" t="s">
        <v>267</v>
      </c>
      <c r="D81" s="22" t="s">
        <v>355</v>
      </c>
      <c r="E81" s="21" t="s">
        <v>48</v>
      </c>
      <c r="F81" s="22"/>
      <c r="J81" s="23"/>
      <c r="L81" s="22" t="s">
        <v>356</v>
      </c>
      <c r="Q81" s="24"/>
      <c r="S81" s="25" t="s">
        <v>356</v>
      </c>
      <c r="T81" s="26">
        <v>16320</v>
      </c>
      <c r="U81" s="100">
        <v>43255</v>
      </c>
      <c r="V81" s="100">
        <v>43985</v>
      </c>
      <c r="W81" s="28">
        <v>780</v>
      </c>
    </row>
    <row r="82" spans="1:23" s="25" customFormat="1" ht="90" customHeight="1">
      <c r="A82" s="25" t="s">
        <v>766</v>
      </c>
      <c r="B82" s="29">
        <v>80204250585</v>
      </c>
      <c r="C82" s="22" t="s">
        <v>267</v>
      </c>
      <c r="D82" s="22" t="s">
        <v>767</v>
      </c>
      <c r="E82" s="21" t="s">
        <v>48</v>
      </c>
      <c r="F82" s="22"/>
      <c r="J82" s="24" t="s">
        <v>186</v>
      </c>
      <c r="L82" s="22" t="s">
        <v>195</v>
      </c>
      <c r="Q82" s="24" t="s">
        <v>186</v>
      </c>
      <c r="S82" s="25" t="s">
        <v>195</v>
      </c>
      <c r="T82" s="26">
        <v>39912</v>
      </c>
      <c r="U82" s="100">
        <v>43369</v>
      </c>
      <c r="V82" s="100">
        <v>45194</v>
      </c>
      <c r="W82" s="28">
        <v>39912</v>
      </c>
    </row>
    <row r="83" spans="1:23" s="25" customFormat="1" ht="75" customHeight="1">
      <c r="A83" s="25" t="s">
        <v>357</v>
      </c>
      <c r="B83" s="29">
        <v>80204250585</v>
      </c>
      <c r="C83" s="22" t="s">
        <v>267</v>
      </c>
      <c r="D83" s="22" t="s">
        <v>358</v>
      </c>
      <c r="E83" s="21" t="s">
        <v>48</v>
      </c>
      <c r="F83" s="22"/>
      <c r="J83" s="24" t="s">
        <v>186</v>
      </c>
      <c r="L83" s="22" t="s">
        <v>195</v>
      </c>
      <c r="Q83" s="24" t="s">
        <v>186</v>
      </c>
      <c r="S83" s="25" t="s">
        <v>195</v>
      </c>
      <c r="T83" s="26">
        <v>25569</v>
      </c>
      <c r="U83" s="100">
        <v>43369</v>
      </c>
      <c r="V83" s="100">
        <v>45194</v>
      </c>
      <c r="W83" s="28">
        <v>25569</v>
      </c>
    </row>
    <row r="84" spans="1:23" s="25" customFormat="1" ht="105" customHeight="1">
      <c r="A84" s="25" t="s">
        <v>359</v>
      </c>
      <c r="B84" s="29">
        <v>80204250585</v>
      </c>
      <c r="C84" s="22" t="s">
        <v>267</v>
      </c>
      <c r="D84" s="22" t="s">
        <v>360</v>
      </c>
      <c r="E84" s="21" t="s">
        <v>51</v>
      </c>
      <c r="F84" s="22"/>
      <c r="J84" s="24" t="s">
        <v>186</v>
      </c>
      <c r="L84" s="22" t="s">
        <v>195</v>
      </c>
      <c r="Q84" s="24" t="s">
        <v>186</v>
      </c>
      <c r="S84" s="25" t="s">
        <v>195</v>
      </c>
      <c r="T84" s="26">
        <v>7776</v>
      </c>
      <c r="U84" s="100">
        <v>43262</v>
      </c>
      <c r="V84" s="100"/>
      <c r="W84" s="28">
        <v>7776</v>
      </c>
    </row>
    <row r="85" spans="1:23" s="25" customFormat="1" ht="150" customHeight="1">
      <c r="A85" s="25" t="s">
        <v>361</v>
      </c>
      <c r="B85" s="29">
        <v>80204250585</v>
      </c>
      <c r="C85" s="22" t="s">
        <v>267</v>
      </c>
      <c r="D85" s="22" t="s">
        <v>362</v>
      </c>
      <c r="E85" s="21" t="s">
        <v>51</v>
      </c>
      <c r="F85" s="22"/>
      <c r="J85" s="23">
        <v>12878470157</v>
      </c>
      <c r="L85" s="22" t="s">
        <v>147</v>
      </c>
      <c r="Q85" s="24">
        <v>12878470157</v>
      </c>
      <c r="S85" s="25" t="s">
        <v>363</v>
      </c>
      <c r="T85" s="26">
        <v>37965.65</v>
      </c>
      <c r="U85" s="100">
        <v>43178</v>
      </c>
      <c r="V85" s="100"/>
      <c r="W85" s="28">
        <v>37965.65</v>
      </c>
    </row>
    <row r="86" spans="1:23" s="25" customFormat="1" ht="45" customHeight="1">
      <c r="A86" s="25" t="s">
        <v>364</v>
      </c>
      <c r="B86" s="29">
        <v>80204250585</v>
      </c>
      <c r="C86" s="22" t="s">
        <v>267</v>
      </c>
      <c r="D86" s="22" t="s">
        <v>365</v>
      </c>
      <c r="E86" s="21" t="s">
        <v>48</v>
      </c>
      <c r="F86" s="22"/>
      <c r="H86" s="29"/>
      <c r="J86" s="23" t="s">
        <v>366</v>
      </c>
      <c r="L86" s="22" t="s">
        <v>367</v>
      </c>
      <c r="Q86" s="24" t="s">
        <v>366</v>
      </c>
      <c r="S86" s="25" t="s">
        <v>368</v>
      </c>
      <c r="T86" s="26">
        <v>2811.32</v>
      </c>
      <c r="U86" s="100">
        <v>43175</v>
      </c>
      <c r="V86" s="100"/>
      <c r="W86" s="28">
        <v>2881.32</v>
      </c>
    </row>
    <row r="87" spans="1:23" s="25" customFormat="1" ht="60" customHeight="1">
      <c r="A87" s="53" t="s">
        <v>192</v>
      </c>
      <c r="B87" s="29">
        <v>80204250585</v>
      </c>
      <c r="C87" s="21" t="s">
        <v>267</v>
      </c>
      <c r="D87" s="21" t="s">
        <v>369</v>
      </c>
      <c r="E87" s="21" t="s">
        <v>48</v>
      </c>
      <c r="F87" s="21"/>
      <c r="H87" s="29"/>
      <c r="I87" s="29"/>
      <c r="J87" s="23" t="s">
        <v>696</v>
      </c>
      <c r="K87" s="29"/>
      <c r="L87" s="21" t="s">
        <v>344</v>
      </c>
      <c r="M87" s="29"/>
      <c r="O87" s="29"/>
      <c r="P87" s="29"/>
      <c r="Q87" s="23" t="s">
        <v>696</v>
      </c>
      <c r="R87" s="29"/>
      <c r="S87" s="29" t="s">
        <v>344</v>
      </c>
      <c r="T87" s="26">
        <v>4041.09</v>
      </c>
      <c r="U87" s="100">
        <v>43342</v>
      </c>
      <c r="V87" s="100">
        <v>43342</v>
      </c>
      <c r="W87" s="28">
        <v>0</v>
      </c>
    </row>
    <row r="88" spans="1:23" s="25" customFormat="1" ht="75" customHeight="1">
      <c r="A88" s="53" t="s">
        <v>192</v>
      </c>
      <c r="B88" s="29">
        <v>80204250585</v>
      </c>
      <c r="C88" s="21" t="s">
        <v>267</v>
      </c>
      <c r="D88" s="21" t="s">
        <v>370</v>
      </c>
      <c r="E88" s="21" t="s">
        <v>48</v>
      </c>
      <c r="F88" s="21"/>
      <c r="H88" s="29"/>
      <c r="I88" s="29"/>
      <c r="J88" s="23" t="s">
        <v>696</v>
      </c>
      <c r="K88" s="29"/>
      <c r="L88" s="21" t="s">
        <v>344</v>
      </c>
      <c r="M88" s="29"/>
      <c r="O88" s="29"/>
      <c r="P88" s="29"/>
      <c r="Q88" s="23" t="s">
        <v>696</v>
      </c>
      <c r="R88" s="29"/>
      <c r="S88" s="29" t="s">
        <v>344</v>
      </c>
      <c r="T88" s="26">
        <v>5262.41</v>
      </c>
      <c r="U88" s="100">
        <v>43342</v>
      </c>
      <c r="V88" s="100">
        <v>43342</v>
      </c>
      <c r="W88" s="28">
        <v>0</v>
      </c>
    </row>
    <row r="89" spans="1:23" s="25" customFormat="1" ht="75" customHeight="1">
      <c r="A89" s="53" t="s">
        <v>192</v>
      </c>
      <c r="B89" s="29">
        <v>80204250585</v>
      </c>
      <c r="C89" s="21" t="s">
        <v>267</v>
      </c>
      <c r="D89" s="21" t="s">
        <v>371</v>
      </c>
      <c r="E89" s="21" t="s">
        <v>48</v>
      </c>
      <c r="F89" s="21"/>
      <c r="H89" s="29"/>
      <c r="I89" s="29"/>
      <c r="J89" s="23" t="s">
        <v>696</v>
      </c>
      <c r="K89" s="29"/>
      <c r="L89" s="21" t="s">
        <v>344</v>
      </c>
      <c r="M89" s="29"/>
      <c r="O89" s="29"/>
      <c r="P89" s="29"/>
      <c r="Q89" s="23" t="s">
        <v>696</v>
      </c>
      <c r="R89" s="29"/>
      <c r="S89" s="29" t="s">
        <v>344</v>
      </c>
      <c r="T89" s="26">
        <v>931.28</v>
      </c>
      <c r="U89" s="100">
        <v>43342</v>
      </c>
      <c r="V89" s="100">
        <v>43342</v>
      </c>
      <c r="W89" s="28">
        <v>0</v>
      </c>
    </row>
    <row r="90" spans="1:23" s="25" customFormat="1" ht="60" customHeight="1">
      <c r="A90" s="53" t="s">
        <v>372</v>
      </c>
      <c r="B90" s="29">
        <v>80204250585</v>
      </c>
      <c r="C90" s="21" t="s">
        <v>267</v>
      </c>
      <c r="D90" s="21" t="s">
        <v>373</v>
      </c>
      <c r="E90" s="21" t="s">
        <v>48</v>
      </c>
      <c r="F90" s="21"/>
      <c r="H90" s="29"/>
      <c r="I90" s="29"/>
      <c r="J90" s="23" t="s">
        <v>696</v>
      </c>
      <c r="K90" s="29"/>
      <c r="L90" s="21" t="s">
        <v>344</v>
      </c>
      <c r="M90" s="29"/>
      <c r="O90" s="29"/>
      <c r="P90" s="29"/>
      <c r="Q90" s="23" t="s">
        <v>696</v>
      </c>
      <c r="R90" s="29"/>
      <c r="S90" s="29" t="s">
        <v>344</v>
      </c>
      <c r="T90" s="26">
        <v>5405.31</v>
      </c>
      <c r="U90" s="100">
        <v>43311</v>
      </c>
      <c r="V90" s="100">
        <v>43315</v>
      </c>
      <c r="W90" s="28">
        <v>0</v>
      </c>
    </row>
    <row r="91" spans="1:23" s="25" customFormat="1" ht="135" customHeight="1">
      <c r="A91" s="53" t="s">
        <v>374</v>
      </c>
      <c r="B91" s="29">
        <v>80204250585</v>
      </c>
      <c r="C91" s="21" t="s">
        <v>267</v>
      </c>
      <c r="D91" s="21" t="s">
        <v>375</v>
      </c>
      <c r="E91" s="21" t="s">
        <v>48</v>
      </c>
      <c r="F91" s="21"/>
      <c r="H91" s="29"/>
      <c r="I91" s="29"/>
      <c r="J91" s="23" t="s">
        <v>696</v>
      </c>
      <c r="K91" s="29"/>
      <c r="L91" s="21" t="s">
        <v>344</v>
      </c>
      <c r="M91" s="29"/>
      <c r="O91" s="29"/>
      <c r="P91" s="29"/>
      <c r="Q91" s="23" t="s">
        <v>696</v>
      </c>
      <c r="R91" s="29"/>
      <c r="S91" s="29" t="s">
        <v>344</v>
      </c>
      <c r="T91" s="26">
        <v>4356.88</v>
      </c>
      <c r="U91" s="100">
        <v>43289</v>
      </c>
      <c r="V91" s="100">
        <v>43343</v>
      </c>
      <c r="W91" s="28">
        <v>0</v>
      </c>
    </row>
    <row r="92" spans="1:23" s="25" customFormat="1" ht="90" customHeight="1">
      <c r="A92" s="53" t="s">
        <v>376</v>
      </c>
      <c r="B92" s="29">
        <v>80204250585</v>
      </c>
      <c r="C92" s="21" t="s">
        <v>267</v>
      </c>
      <c r="D92" s="21" t="s">
        <v>377</v>
      </c>
      <c r="E92" s="21" t="s">
        <v>48</v>
      </c>
      <c r="F92" s="21"/>
      <c r="H92" s="29"/>
      <c r="I92" s="29"/>
      <c r="J92" s="23" t="s">
        <v>378</v>
      </c>
      <c r="K92" s="29"/>
      <c r="L92" s="21" t="s">
        <v>379</v>
      </c>
      <c r="M92" s="29"/>
      <c r="N92" s="29"/>
      <c r="O92" s="29"/>
      <c r="P92" s="29"/>
      <c r="Q92" s="24" t="s">
        <v>378</v>
      </c>
      <c r="R92" s="29"/>
      <c r="S92" s="29" t="s">
        <v>379</v>
      </c>
      <c r="T92" s="26">
        <v>240</v>
      </c>
      <c r="U92" s="100">
        <v>43319</v>
      </c>
      <c r="V92" s="100">
        <v>43322</v>
      </c>
      <c r="W92" s="28">
        <v>0</v>
      </c>
    </row>
    <row r="93" spans="1:23" s="25" customFormat="1" ht="60" customHeight="1">
      <c r="A93" s="53" t="s">
        <v>380</v>
      </c>
      <c r="B93" s="29">
        <v>80204250585</v>
      </c>
      <c r="C93" s="21" t="s">
        <v>267</v>
      </c>
      <c r="D93" s="21" t="s">
        <v>381</v>
      </c>
      <c r="E93" s="21" t="s">
        <v>48</v>
      </c>
      <c r="F93" s="21"/>
      <c r="H93" s="29"/>
      <c r="I93" s="29"/>
      <c r="J93" s="23" t="s">
        <v>382</v>
      </c>
      <c r="K93" s="29"/>
      <c r="L93" s="33" t="s">
        <v>604</v>
      </c>
      <c r="M93" s="29"/>
      <c r="O93" s="29"/>
      <c r="P93" s="29"/>
      <c r="Q93" s="24" t="s">
        <v>382</v>
      </c>
      <c r="R93" s="29"/>
      <c r="S93" s="33" t="s">
        <v>604</v>
      </c>
      <c r="T93" s="26">
        <v>4772.7299999999996</v>
      </c>
      <c r="U93" s="100">
        <v>43377</v>
      </c>
      <c r="V93" s="100">
        <v>43427</v>
      </c>
      <c r="W93" s="28">
        <v>4136.3599999999997</v>
      </c>
    </row>
    <row r="94" spans="1:23" s="25" customFormat="1" ht="165" customHeight="1">
      <c r="A94" s="31" t="s">
        <v>670</v>
      </c>
      <c r="B94" s="29">
        <v>80204250585</v>
      </c>
      <c r="C94" s="21" t="s">
        <v>267</v>
      </c>
      <c r="D94" s="21" t="s">
        <v>669</v>
      </c>
      <c r="E94" s="21" t="s">
        <v>36</v>
      </c>
      <c r="F94" s="21" t="s">
        <v>676</v>
      </c>
      <c r="H94" s="29" t="s">
        <v>107</v>
      </c>
      <c r="I94" s="25" t="s">
        <v>108</v>
      </c>
      <c r="J94" s="23" t="s">
        <v>687</v>
      </c>
      <c r="K94" s="29"/>
      <c r="L94" s="21" t="s">
        <v>688</v>
      </c>
      <c r="M94" s="29"/>
      <c r="O94" s="29"/>
      <c r="P94" s="29"/>
      <c r="Q94" s="24" t="s">
        <v>109</v>
      </c>
      <c r="R94" s="29"/>
      <c r="S94" s="29" t="s">
        <v>110</v>
      </c>
      <c r="T94" s="26">
        <v>0</v>
      </c>
      <c r="U94" s="100"/>
      <c r="V94" s="100"/>
      <c r="W94" s="28">
        <v>0</v>
      </c>
    </row>
    <row r="95" spans="1:23" s="25" customFormat="1" ht="165" customHeight="1">
      <c r="A95" s="31">
        <v>7553328373</v>
      </c>
      <c r="B95" s="29">
        <v>80204250585</v>
      </c>
      <c r="C95" s="21" t="s">
        <v>267</v>
      </c>
      <c r="D95" s="21" t="s">
        <v>383</v>
      </c>
      <c r="E95" s="21" t="s">
        <v>36</v>
      </c>
      <c r="F95" s="21" t="s">
        <v>676</v>
      </c>
      <c r="H95" s="29" t="s">
        <v>107</v>
      </c>
      <c r="I95" s="25" t="s">
        <v>108</v>
      </c>
      <c r="J95" s="23" t="s">
        <v>687</v>
      </c>
      <c r="K95" s="29"/>
      <c r="L95" s="21" t="s">
        <v>688</v>
      </c>
      <c r="M95" s="29"/>
      <c r="P95" s="29"/>
      <c r="Q95" s="24" t="s">
        <v>109</v>
      </c>
      <c r="R95" s="29"/>
      <c r="S95" s="29" t="s">
        <v>110</v>
      </c>
      <c r="T95" s="26">
        <v>0</v>
      </c>
      <c r="U95" s="100"/>
      <c r="V95" s="100"/>
      <c r="W95" s="28">
        <v>0</v>
      </c>
    </row>
    <row r="96" spans="1:23" s="25" customFormat="1" ht="180" customHeight="1">
      <c r="A96" s="31" t="s">
        <v>671</v>
      </c>
      <c r="B96" s="29">
        <v>80204250585</v>
      </c>
      <c r="C96" s="21" t="s">
        <v>267</v>
      </c>
      <c r="D96" s="21" t="s">
        <v>1581</v>
      </c>
      <c r="E96" s="21" t="s">
        <v>51</v>
      </c>
      <c r="F96" s="21"/>
      <c r="H96" s="29"/>
      <c r="J96" s="23"/>
      <c r="K96" s="29"/>
      <c r="L96" s="21"/>
      <c r="M96" s="29"/>
      <c r="O96" s="29"/>
      <c r="P96" s="29"/>
      <c r="Q96" s="24" t="s">
        <v>109</v>
      </c>
      <c r="R96" s="29"/>
      <c r="S96" s="29" t="s">
        <v>110</v>
      </c>
      <c r="T96" s="26">
        <f>5448641.07+473900</f>
        <v>5922541.0700000003</v>
      </c>
      <c r="U96" s="100">
        <v>43497</v>
      </c>
      <c r="V96" s="100">
        <v>44742</v>
      </c>
      <c r="W96" s="28">
        <v>1186943.8999999999</v>
      </c>
    </row>
    <row r="97" spans="1:23" s="25" customFormat="1" ht="75" customHeight="1">
      <c r="A97" s="53" t="s">
        <v>386</v>
      </c>
      <c r="B97" s="29">
        <v>80204250585</v>
      </c>
      <c r="C97" s="21" t="s">
        <v>83</v>
      </c>
      <c r="D97" s="21" t="s">
        <v>387</v>
      </c>
      <c r="E97" s="21" t="s">
        <v>48</v>
      </c>
      <c r="F97" s="21"/>
      <c r="H97" s="29"/>
      <c r="I97" s="29"/>
      <c r="J97" s="23" t="s">
        <v>155</v>
      </c>
      <c r="K97" s="29"/>
      <c r="L97" s="21" t="s">
        <v>388</v>
      </c>
      <c r="M97" s="29"/>
      <c r="O97" s="29"/>
      <c r="P97" s="29"/>
      <c r="Q97" s="24" t="s">
        <v>155</v>
      </c>
      <c r="R97" s="29"/>
      <c r="S97" s="29"/>
      <c r="T97" s="26">
        <v>1170</v>
      </c>
      <c r="U97" s="100">
        <v>43374</v>
      </c>
      <c r="V97" s="100">
        <v>43496</v>
      </c>
      <c r="W97" s="28">
        <v>0</v>
      </c>
    </row>
    <row r="98" spans="1:23" s="25" customFormat="1" ht="75" customHeight="1">
      <c r="A98" s="53" t="s">
        <v>389</v>
      </c>
      <c r="B98" s="29">
        <v>80204250585</v>
      </c>
      <c r="C98" s="21" t="s">
        <v>83</v>
      </c>
      <c r="D98" s="21" t="s">
        <v>387</v>
      </c>
      <c r="E98" s="21" t="s">
        <v>48</v>
      </c>
      <c r="F98" s="21"/>
      <c r="H98" s="29"/>
      <c r="I98" s="29"/>
      <c r="J98" s="23" t="s">
        <v>156</v>
      </c>
      <c r="K98" s="29"/>
      <c r="L98" s="21" t="s">
        <v>157</v>
      </c>
      <c r="M98" s="29"/>
      <c r="O98" s="29"/>
      <c r="P98" s="29"/>
      <c r="Q98" s="24" t="s">
        <v>156</v>
      </c>
      <c r="R98" s="29"/>
      <c r="S98" s="29"/>
      <c r="T98" s="26">
        <v>6340</v>
      </c>
      <c r="U98" s="100">
        <v>43374</v>
      </c>
      <c r="V98" s="100">
        <v>43496</v>
      </c>
      <c r="W98" s="28">
        <v>0</v>
      </c>
    </row>
    <row r="99" spans="1:23" s="25" customFormat="1" ht="75" customHeight="1">
      <c r="A99" s="53" t="s">
        <v>390</v>
      </c>
      <c r="B99" s="29">
        <v>80204250585</v>
      </c>
      <c r="C99" s="21" t="s">
        <v>83</v>
      </c>
      <c r="D99" s="21" t="s">
        <v>387</v>
      </c>
      <c r="E99" s="21" t="s">
        <v>48</v>
      </c>
      <c r="F99" s="21"/>
      <c r="H99" s="29"/>
      <c r="I99" s="29"/>
      <c r="J99" s="23" t="s">
        <v>158</v>
      </c>
      <c r="K99" s="29"/>
      <c r="L99" s="21" t="s">
        <v>159</v>
      </c>
      <c r="M99" s="29"/>
      <c r="O99" s="29"/>
      <c r="P99" s="29"/>
      <c r="Q99" s="24" t="s">
        <v>158</v>
      </c>
      <c r="R99" s="29"/>
      <c r="S99" s="29"/>
      <c r="T99" s="26">
        <v>2500</v>
      </c>
      <c r="U99" s="100">
        <v>43374</v>
      </c>
      <c r="V99" s="100">
        <v>43496</v>
      </c>
      <c r="W99" s="28">
        <v>0</v>
      </c>
    </row>
    <row r="100" spans="1:23" s="25" customFormat="1" ht="75" customHeight="1">
      <c r="A100" s="53" t="s">
        <v>391</v>
      </c>
      <c r="B100" s="29">
        <v>80204250585</v>
      </c>
      <c r="C100" s="21" t="s">
        <v>83</v>
      </c>
      <c r="D100" s="21" t="s">
        <v>387</v>
      </c>
      <c r="E100" s="21" t="s">
        <v>48</v>
      </c>
      <c r="F100" s="21"/>
      <c r="H100" s="29"/>
      <c r="I100" s="29"/>
      <c r="J100" s="23" t="s">
        <v>160</v>
      </c>
      <c r="K100" s="29"/>
      <c r="L100" s="21" t="s">
        <v>161</v>
      </c>
      <c r="M100" s="29"/>
      <c r="O100" s="29"/>
      <c r="P100" s="29"/>
      <c r="Q100" s="24" t="s">
        <v>160</v>
      </c>
      <c r="R100" s="29"/>
      <c r="S100" s="29"/>
      <c r="T100" s="26">
        <v>4170</v>
      </c>
      <c r="U100" s="100">
        <v>43374</v>
      </c>
      <c r="V100" s="100">
        <v>43496</v>
      </c>
      <c r="W100" s="28">
        <v>0</v>
      </c>
    </row>
    <row r="101" spans="1:23" s="25" customFormat="1" ht="75" customHeight="1">
      <c r="A101" s="53" t="s">
        <v>392</v>
      </c>
      <c r="B101" s="29">
        <v>80204250585</v>
      </c>
      <c r="C101" s="21" t="s">
        <v>83</v>
      </c>
      <c r="D101" s="21" t="s">
        <v>387</v>
      </c>
      <c r="E101" s="21" t="s">
        <v>48</v>
      </c>
      <c r="F101" s="21"/>
      <c r="H101" s="29"/>
      <c r="I101" s="29"/>
      <c r="J101" s="23" t="s">
        <v>162</v>
      </c>
      <c r="K101" s="29"/>
      <c r="L101" s="21" t="s">
        <v>393</v>
      </c>
      <c r="M101" s="29"/>
      <c r="O101" s="29"/>
      <c r="P101" s="29"/>
      <c r="Q101" s="24" t="s">
        <v>162</v>
      </c>
      <c r="R101" s="29"/>
      <c r="S101" s="29"/>
      <c r="T101" s="26">
        <v>1170</v>
      </c>
      <c r="U101" s="100">
        <v>43374</v>
      </c>
      <c r="V101" s="100">
        <v>43496</v>
      </c>
      <c r="W101" s="28">
        <v>0</v>
      </c>
    </row>
    <row r="102" spans="1:23" s="25" customFormat="1" ht="60" customHeight="1">
      <c r="A102" s="53" t="s">
        <v>394</v>
      </c>
      <c r="B102" s="29">
        <v>80204250585</v>
      </c>
      <c r="C102" s="21" t="s">
        <v>83</v>
      </c>
      <c r="D102" s="21" t="s">
        <v>395</v>
      </c>
      <c r="E102" s="21" t="s">
        <v>48</v>
      </c>
      <c r="F102" s="21"/>
      <c r="H102" s="29"/>
      <c r="I102" s="29"/>
      <c r="J102" s="23" t="s">
        <v>396</v>
      </c>
      <c r="K102" s="29"/>
      <c r="L102" s="21" t="s">
        <v>397</v>
      </c>
      <c r="M102" s="29"/>
      <c r="O102" s="29"/>
      <c r="P102" s="29"/>
      <c r="Q102" s="24" t="s">
        <v>396</v>
      </c>
      <c r="R102" s="29"/>
      <c r="S102" s="29"/>
      <c r="T102" s="26">
        <v>4170</v>
      </c>
      <c r="U102" s="100">
        <v>43374</v>
      </c>
      <c r="V102" s="100">
        <v>43496</v>
      </c>
      <c r="W102" s="28">
        <v>0</v>
      </c>
    </row>
    <row r="103" spans="1:23" s="25" customFormat="1" ht="60" customHeight="1">
      <c r="A103" s="53" t="s">
        <v>398</v>
      </c>
      <c r="B103" s="29">
        <v>80204250585</v>
      </c>
      <c r="C103" s="21" t="s">
        <v>83</v>
      </c>
      <c r="D103" s="21" t="s">
        <v>399</v>
      </c>
      <c r="E103" s="21" t="s">
        <v>48</v>
      </c>
      <c r="F103" s="21"/>
      <c r="H103" s="29"/>
      <c r="I103" s="29"/>
      <c r="J103" s="23" t="s">
        <v>163</v>
      </c>
      <c r="K103" s="29"/>
      <c r="L103" s="21" t="s">
        <v>164</v>
      </c>
      <c r="M103" s="29"/>
      <c r="O103" s="29"/>
      <c r="P103" s="29"/>
      <c r="Q103" s="24" t="s">
        <v>163</v>
      </c>
      <c r="R103" s="29"/>
      <c r="S103" s="29"/>
      <c r="T103" s="26">
        <v>1170</v>
      </c>
      <c r="U103" s="100">
        <v>43374</v>
      </c>
      <c r="V103" s="100">
        <v>43496</v>
      </c>
      <c r="W103" s="28">
        <v>0</v>
      </c>
    </row>
    <row r="104" spans="1:23" s="25" customFormat="1" ht="75" customHeight="1">
      <c r="A104" s="53" t="s">
        <v>400</v>
      </c>
      <c r="B104" s="29">
        <v>80204250585</v>
      </c>
      <c r="C104" s="21" t="s">
        <v>83</v>
      </c>
      <c r="D104" s="21" t="s">
        <v>387</v>
      </c>
      <c r="E104" s="21" t="s">
        <v>48</v>
      </c>
      <c r="F104" s="21"/>
      <c r="H104" s="29"/>
      <c r="I104" s="29"/>
      <c r="J104" s="23" t="s">
        <v>165</v>
      </c>
      <c r="K104" s="29"/>
      <c r="L104" s="21" t="s">
        <v>401</v>
      </c>
      <c r="M104" s="29"/>
      <c r="O104" s="29"/>
      <c r="P104" s="29"/>
      <c r="Q104" s="24" t="s">
        <v>165</v>
      </c>
      <c r="R104" s="29"/>
      <c r="S104" s="29"/>
      <c r="T104" s="26">
        <v>1170</v>
      </c>
      <c r="U104" s="100">
        <v>43374</v>
      </c>
      <c r="V104" s="100">
        <v>43496</v>
      </c>
      <c r="W104" s="28">
        <v>0</v>
      </c>
    </row>
    <row r="105" spans="1:23" s="25" customFormat="1" ht="60" customHeight="1">
      <c r="A105" s="53" t="s">
        <v>402</v>
      </c>
      <c r="B105" s="29">
        <v>80204250585</v>
      </c>
      <c r="C105" s="21" t="s">
        <v>83</v>
      </c>
      <c r="D105" s="21" t="s">
        <v>399</v>
      </c>
      <c r="E105" s="21" t="s">
        <v>48</v>
      </c>
      <c r="F105" s="21"/>
      <c r="H105" s="29"/>
      <c r="I105" s="29"/>
      <c r="J105" s="23" t="s">
        <v>166</v>
      </c>
      <c r="K105" s="29"/>
      <c r="L105" s="21" t="s">
        <v>403</v>
      </c>
      <c r="M105" s="29"/>
      <c r="O105" s="29"/>
      <c r="P105" s="29"/>
      <c r="Q105" s="24" t="s">
        <v>166</v>
      </c>
      <c r="R105" s="29"/>
      <c r="S105" s="29"/>
      <c r="T105" s="26">
        <v>5000</v>
      </c>
      <c r="U105" s="100">
        <v>43374</v>
      </c>
      <c r="V105" s="100">
        <v>43496</v>
      </c>
      <c r="W105" s="28">
        <v>0</v>
      </c>
    </row>
    <row r="106" spans="1:23" s="25" customFormat="1" ht="75" customHeight="1">
      <c r="A106" s="53" t="s">
        <v>404</v>
      </c>
      <c r="B106" s="29">
        <v>80204250585</v>
      </c>
      <c r="C106" s="21" t="s">
        <v>83</v>
      </c>
      <c r="D106" s="21" t="s">
        <v>387</v>
      </c>
      <c r="E106" s="21" t="s">
        <v>48</v>
      </c>
      <c r="F106" s="21"/>
      <c r="H106" s="29"/>
      <c r="I106" s="29"/>
      <c r="J106" s="23" t="s">
        <v>167</v>
      </c>
      <c r="K106" s="29"/>
      <c r="L106" s="21" t="s">
        <v>168</v>
      </c>
      <c r="M106" s="29"/>
      <c r="O106" s="29"/>
      <c r="P106" s="29"/>
      <c r="Q106" s="24" t="s">
        <v>167</v>
      </c>
      <c r="R106" s="29"/>
      <c r="S106" s="29"/>
      <c r="T106" s="26">
        <v>5000</v>
      </c>
      <c r="U106" s="100">
        <v>43374</v>
      </c>
      <c r="V106" s="100">
        <v>43496</v>
      </c>
      <c r="W106" s="28">
        <v>0</v>
      </c>
    </row>
    <row r="107" spans="1:23" s="25" customFormat="1" ht="90" customHeight="1">
      <c r="A107" s="53" t="s">
        <v>406</v>
      </c>
      <c r="B107" s="29">
        <v>80204250585</v>
      </c>
      <c r="C107" s="21" t="s">
        <v>267</v>
      </c>
      <c r="D107" s="21" t="s">
        <v>407</v>
      </c>
      <c r="E107" s="21" t="s">
        <v>48</v>
      </c>
      <c r="F107" s="21"/>
      <c r="H107" s="29"/>
      <c r="I107" s="29"/>
      <c r="J107" s="23" t="s">
        <v>696</v>
      </c>
      <c r="K107" s="29"/>
      <c r="L107" s="21" t="s">
        <v>344</v>
      </c>
      <c r="M107" s="29"/>
      <c r="O107" s="29"/>
      <c r="P107" s="29"/>
      <c r="Q107" s="23" t="s">
        <v>696</v>
      </c>
      <c r="R107" s="29"/>
      <c r="S107" s="29" t="s">
        <v>344</v>
      </c>
      <c r="T107" s="26">
        <v>4114.53</v>
      </c>
      <c r="U107" s="100">
        <v>43395</v>
      </c>
      <c r="V107" s="100">
        <v>43496</v>
      </c>
      <c r="W107" s="28">
        <v>0</v>
      </c>
    </row>
    <row r="108" spans="1:23" s="25" customFormat="1" ht="105" customHeight="1">
      <c r="A108" s="53" t="s">
        <v>408</v>
      </c>
      <c r="B108" s="29">
        <v>80204250585</v>
      </c>
      <c r="C108" s="21" t="s">
        <v>267</v>
      </c>
      <c r="D108" s="21" t="s">
        <v>409</v>
      </c>
      <c r="E108" s="21" t="s">
        <v>48</v>
      </c>
      <c r="F108" s="21"/>
      <c r="H108" s="29"/>
      <c r="I108" s="29"/>
      <c r="J108" s="24" t="s">
        <v>261</v>
      </c>
      <c r="K108" s="29"/>
      <c r="L108" s="21" t="s">
        <v>410</v>
      </c>
      <c r="M108" s="29"/>
      <c r="O108" s="29"/>
      <c r="P108" s="29"/>
      <c r="Q108" s="24" t="s">
        <v>261</v>
      </c>
      <c r="R108" s="29"/>
      <c r="S108" s="29" t="s">
        <v>410</v>
      </c>
      <c r="T108" s="26">
        <v>3720</v>
      </c>
      <c r="U108" s="100">
        <v>43416</v>
      </c>
      <c r="V108" s="100">
        <v>43441</v>
      </c>
      <c r="W108" s="28">
        <v>0</v>
      </c>
    </row>
    <row r="109" spans="1:23" s="25" customFormat="1" ht="135" customHeight="1">
      <c r="A109" s="53" t="s">
        <v>411</v>
      </c>
      <c r="B109" s="29">
        <v>80204250585</v>
      </c>
      <c r="C109" s="21" t="s">
        <v>267</v>
      </c>
      <c r="D109" s="21" t="s">
        <v>1313</v>
      </c>
      <c r="E109" s="21" t="s">
        <v>39</v>
      </c>
      <c r="F109" s="21"/>
      <c r="H109" s="29"/>
      <c r="I109" s="29"/>
      <c r="J109" s="23"/>
      <c r="K109" s="29"/>
      <c r="L109" s="21"/>
      <c r="M109" s="29"/>
      <c r="O109" s="29"/>
      <c r="P109" s="29"/>
      <c r="Q109" s="24">
        <v>12066470159</v>
      </c>
      <c r="R109" s="29"/>
      <c r="S109" s="29" t="s">
        <v>412</v>
      </c>
      <c r="T109" s="26">
        <v>1679561.47</v>
      </c>
      <c r="U109" s="100">
        <v>43405</v>
      </c>
      <c r="V109" s="100">
        <v>44439</v>
      </c>
      <c r="W109" s="28">
        <f>374884.5+203333.18+4775.14+181833.18+181833.18+3183.43+181833.18+181833.18+181833.18+121222.12</f>
        <v>1616564.27</v>
      </c>
    </row>
    <row r="110" spans="1:23" s="25" customFormat="1" ht="75" customHeight="1">
      <c r="A110" s="53" t="s">
        <v>413</v>
      </c>
      <c r="B110" s="29">
        <v>80204250585</v>
      </c>
      <c r="C110" s="21" t="s">
        <v>267</v>
      </c>
      <c r="D110" s="21" t="s">
        <v>414</v>
      </c>
      <c r="E110" s="21" t="s">
        <v>48</v>
      </c>
      <c r="F110" s="21"/>
      <c r="H110" s="29"/>
      <c r="I110" s="29"/>
      <c r="J110" s="23"/>
      <c r="K110" s="29"/>
      <c r="L110" s="21"/>
      <c r="M110" s="29"/>
      <c r="O110" s="29"/>
      <c r="P110" s="29"/>
      <c r="Q110" s="24" t="s">
        <v>190</v>
      </c>
      <c r="R110" s="29"/>
      <c r="S110" s="25" t="s">
        <v>191</v>
      </c>
      <c r="T110" s="26">
        <v>36398.28</v>
      </c>
      <c r="U110" s="100">
        <v>43432</v>
      </c>
      <c r="V110" s="100">
        <v>44528</v>
      </c>
      <c r="W110" s="28">
        <v>36398.28</v>
      </c>
    </row>
    <row r="111" spans="1:23" s="25" customFormat="1" ht="90" customHeight="1">
      <c r="A111" s="53" t="s">
        <v>415</v>
      </c>
      <c r="B111" s="29">
        <v>80204250585</v>
      </c>
      <c r="C111" s="21" t="s">
        <v>267</v>
      </c>
      <c r="D111" s="21" t="s">
        <v>416</v>
      </c>
      <c r="E111" s="21" t="s">
        <v>48</v>
      </c>
      <c r="F111" s="21"/>
      <c r="H111" s="29"/>
      <c r="I111" s="29"/>
      <c r="J111" s="23" t="s">
        <v>696</v>
      </c>
      <c r="K111" s="29"/>
      <c r="L111" s="21" t="s">
        <v>344</v>
      </c>
      <c r="M111" s="29"/>
      <c r="O111" s="29"/>
      <c r="P111" s="29"/>
      <c r="Q111" s="23" t="s">
        <v>696</v>
      </c>
      <c r="R111" s="29"/>
      <c r="S111" s="29" t="s">
        <v>344</v>
      </c>
      <c r="T111" s="26">
        <v>3550.79</v>
      </c>
      <c r="U111" s="100">
        <v>43441</v>
      </c>
      <c r="V111" s="100">
        <v>43496</v>
      </c>
      <c r="W111" s="28">
        <v>0</v>
      </c>
    </row>
    <row r="112" spans="1:23" s="25" customFormat="1" ht="60" customHeight="1">
      <c r="A112" s="53" t="s">
        <v>417</v>
      </c>
      <c r="B112" s="29">
        <v>80204250585</v>
      </c>
      <c r="C112" s="21" t="s">
        <v>267</v>
      </c>
      <c r="D112" s="21" t="s">
        <v>418</v>
      </c>
      <c r="E112" s="21" t="s">
        <v>39</v>
      </c>
      <c r="F112" s="21"/>
      <c r="H112" s="29"/>
      <c r="I112" s="29"/>
      <c r="J112" s="23"/>
      <c r="K112" s="29"/>
      <c r="L112" s="21"/>
      <c r="M112" s="29"/>
      <c r="O112" s="29"/>
      <c r="P112" s="29"/>
      <c r="Q112" s="24" t="s">
        <v>288</v>
      </c>
      <c r="R112" s="29"/>
      <c r="S112" s="29" t="s">
        <v>270</v>
      </c>
      <c r="T112" s="26">
        <v>30916.7</v>
      </c>
      <c r="U112" s="100">
        <v>43405</v>
      </c>
      <c r="V112" s="100">
        <v>44255</v>
      </c>
      <c r="W112" s="28">
        <f>6625+(3312.5*5)+3312.5+3312.5+1104.2</f>
        <v>30916.7</v>
      </c>
    </row>
    <row r="113" spans="1:23" s="25" customFormat="1" ht="60" customHeight="1">
      <c r="A113" s="53" t="s">
        <v>420</v>
      </c>
      <c r="B113" s="29">
        <v>80204250585</v>
      </c>
      <c r="C113" s="21" t="s">
        <v>267</v>
      </c>
      <c r="D113" s="21" t="s">
        <v>421</v>
      </c>
      <c r="E113" s="21" t="s">
        <v>39</v>
      </c>
      <c r="F113" s="21"/>
      <c r="H113" s="29"/>
      <c r="I113" s="29"/>
      <c r="J113" s="23"/>
      <c r="K113" s="29"/>
      <c r="L113" s="21"/>
      <c r="M113" s="29"/>
      <c r="O113" s="29"/>
      <c r="P113" s="29"/>
      <c r="Q113" s="24"/>
      <c r="R113" s="29"/>
      <c r="S113" s="29" t="s">
        <v>422</v>
      </c>
      <c r="T113" s="26">
        <v>11833.33</v>
      </c>
      <c r="U113" s="100">
        <v>43466</v>
      </c>
      <c r="V113" s="100">
        <v>43830</v>
      </c>
      <c r="W113" s="28">
        <v>0</v>
      </c>
    </row>
    <row r="114" spans="1:23" s="25" customFormat="1" ht="45" customHeight="1">
      <c r="A114" s="53" t="s">
        <v>424</v>
      </c>
      <c r="B114" s="29">
        <v>80204250585</v>
      </c>
      <c r="C114" s="21" t="s">
        <v>267</v>
      </c>
      <c r="D114" s="21" t="s">
        <v>425</v>
      </c>
      <c r="E114" s="21" t="s">
        <v>39</v>
      </c>
      <c r="F114" s="21"/>
      <c r="H114" s="29"/>
      <c r="I114" s="29"/>
      <c r="J114" s="23"/>
      <c r="K114" s="29"/>
      <c r="L114" s="21"/>
      <c r="M114" s="29"/>
      <c r="O114" s="29"/>
      <c r="P114" s="29"/>
      <c r="Q114" s="24"/>
      <c r="R114" s="29"/>
      <c r="S114" s="29" t="s">
        <v>426</v>
      </c>
      <c r="T114" s="26">
        <v>40000</v>
      </c>
      <c r="U114" s="100">
        <v>43466</v>
      </c>
      <c r="V114" s="100">
        <v>43830</v>
      </c>
      <c r="W114" s="28">
        <v>0</v>
      </c>
    </row>
    <row r="115" spans="1:23" s="25" customFormat="1" ht="75" customHeight="1">
      <c r="A115" s="53" t="s">
        <v>427</v>
      </c>
      <c r="B115" s="29">
        <v>80204250585</v>
      </c>
      <c r="C115" s="21" t="s">
        <v>267</v>
      </c>
      <c r="D115" s="21" t="s">
        <v>428</v>
      </c>
      <c r="E115" s="21" t="s">
        <v>39</v>
      </c>
      <c r="F115" s="21"/>
      <c r="H115" s="29"/>
      <c r="I115" s="29"/>
      <c r="J115" s="23"/>
      <c r="K115" s="29"/>
      <c r="L115" s="21"/>
      <c r="M115" s="29"/>
      <c r="O115" s="29"/>
      <c r="P115" s="29"/>
      <c r="Q115" s="24">
        <v>10295850969</v>
      </c>
      <c r="R115" s="29"/>
      <c r="S115" s="29" t="s">
        <v>429</v>
      </c>
      <c r="T115" s="26">
        <v>16020</v>
      </c>
      <c r="U115" s="100">
        <v>43466</v>
      </c>
      <c r="V115" s="100">
        <v>43830</v>
      </c>
      <c r="W115" s="28">
        <v>0</v>
      </c>
    </row>
    <row r="116" spans="1:23" s="25" customFormat="1" ht="75" customHeight="1">
      <c r="A116" s="53" t="s">
        <v>432</v>
      </c>
      <c r="B116" s="29">
        <v>80204250585</v>
      </c>
      <c r="C116" s="21" t="s">
        <v>267</v>
      </c>
      <c r="D116" s="21" t="s">
        <v>433</v>
      </c>
      <c r="E116" s="21" t="s">
        <v>39</v>
      </c>
      <c r="F116" s="21"/>
      <c r="H116" s="29"/>
      <c r="I116" s="29"/>
      <c r="J116" s="23"/>
      <c r="K116" s="29"/>
      <c r="L116" s="21"/>
      <c r="M116" s="29"/>
      <c r="O116" s="29"/>
      <c r="P116" s="29"/>
      <c r="Q116" s="24">
        <v>10295850969</v>
      </c>
      <c r="R116" s="29"/>
      <c r="S116" s="29" t="s">
        <v>429</v>
      </c>
      <c r="T116" s="26">
        <v>30600</v>
      </c>
      <c r="U116" s="100">
        <v>43466</v>
      </c>
      <c r="V116" s="100">
        <v>43830</v>
      </c>
      <c r="W116" s="28">
        <v>23064.75</v>
      </c>
    </row>
    <row r="117" spans="1:23" s="25" customFormat="1" ht="60" customHeight="1">
      <c r="A117" s="53" t="s">
        <v>440</v>
      </c>
      <c r="B117" s="29">
        <v>80204250585</v>
      </c>
      <c r="C117" s="21" t="s">
        <v>267</v>
      </c>
      <c r="D117" s="21" t="s">
        <v>441</v>
      </c>
      <c r="E117" s="21" t="s">
        <v>39</v>
      </c>
      <c r="F117" s="21"/>
      <c r="H117" s="29"/>
      <c r="I117" s="29"/>
      <c r="J117" s="23"/>
      <c r="K117" s="29"/>
      <c r="L117" s="21"/>
      <c r="M117" s="29"/>
      <c r="O117" s="29"/>
      <c r="P117" s="29"/>
      <c r="Q117" s="24" t="s">
        <v>247</v>
      </c>
      <c r="R117" s="29"/>
      <c r="S117" s="33" t="s">
        <v>442</v>
      </c>
      <c r="T117" s="26">
        <v>15298.3</v>
      </c>
      <c r="U117" s="100">
        <v>43466</v>
      </c>
      <c r="V117" s="100">
        <v>43830</v>
      </c>
      <c r="W117" s="35">
        <v>7610.91</v>
      </c>
    </row>
    <row r="118" spans="1:23" s="25" customFormat="1" ht="409.5" customHeight="1">
      <c r="A118" s="53" t="s">
        <v>445</v>
      </c>
      <c r="B118" s="29">
        <v>80204250585</v>
      </c>
      <c r="C118" s="21" t="s">
        <v>267</v>
      </c>
      <c r="D118" s="21" t="s">
        <v>1210</v>
      </c>
      <c r="E118" s="21" t="s">
        <v>43</v>
      </c>
      <c r="F118" s="21"/>
      <c r="H118" s="29"/>
      <c r="I118" s="29"/>
      <c r="J118" s="23" t="s">
        <v>674</v>
      </c>
      <c r="K118" s="29"/>
      <c r="L118" s="22" t="s">
        <v>704</v>
      </c>
      <c r="M118" s="29"/>
      <c r="O118" s="29"/>
      <c r="P118" s="29"/>
      <c r="Q118" s="24" t="s">
        <v>673</v>
      </c>
      <c r="R118" s="29"/>
      <c r="S118" s="29" t="s">
        <v>672</v>
      </c>
      <c r="T118" s="26">
        <v>476666.68</v>
      </c>
      <c r="U118" s="100"/>
      <c r="V118" s="100"/>
      <c r="W118" s="28">
        <v>0</v>
      </c>
    </row>
    <row r="119" spans="1:23" s="25" customFormat="1" ht="409.5" customHeight="1">
      <c r="A119" s="31">
        <v>7629971341</v>
      </c>
      <c r="B119" s="29">
        <v>80204250585</v>
      </c>
      <c r="C119" s="21" t="s">
        <v>267</v>
      </c>
      <c r="D119" s="21" t="s">
        <v>446</v>
      </c>
      <c r="E119" s="21" t="s">
        <v>51</v>
      </c>
      <c r="F119" s="21"/>
      <c r="H119" s="29"/>
      <c r="I119" s="29"/>
      <c r="J119" s="23" t="s">
        <v>674</v>
      </c>
      <c r="K119" s="29"/>
      <c r="L119" s="22" t="s">
        <v>704</v>
      </c>
      <c r="M119" s="29"/>
      <c r="O119" s="29"/>
      <c r="P119" s="29"/>
      <c r="Q119" s="24" t="s">
        <v>673</v>
      </c>
      <c r="R119" s="29"/>
      <c r="S119" s="29" t="s">
        <v>672</v>
      </c>
      <c r="T119" s="26">
        <v>476666.68</v>
      </c>
      <c r="U119" s="100"/>
      <c r="V119" s="100"/>
      <c r="W119" s="28">
        <v>0</v>
      </c>
    </row>
    <row r="120" spans="1:23" s="25" customFormat="1" ht="150" customHeight="1">
      <c r="A120" s="53" t="s">
        <v>447</v>
      </c>
      <c r="B120" s="29">
        <v>80204250585</v>
      </c>
      <c r="C120" s="21" t="s">
        <v>267</v>
      </c>
      <c r="D120" s="21" t="s">
        <v>448</v>
      </c>
      <c r="E120" s="21" t="s">
        <v>43</v>
      </c>
      <c r="F120" s="21"/>
      <c r="H120" s="29"/>
      <c r="I120" s="29"/>
      <c r="J120" s="23" t="s">
        <v>449</v>
      </c>
      <c r="K120" s="29"/>
      <c r="L120" s="21" t="s">
        <v>450</v>
      </c>
      <c r="M120" s="29"/>
      <c r="O120" s="29"/>
      <c r="P120" s="29"/>
      <c r="Q120" s="24" t="s">
        <v>451</v>
      </c>
      <c r="R120" s="29"/>
      <c r="S120" s="29" t="s">
        <v>452</v>
      </c>
      <c r="T120" s="26">
        <v>200000</v>
      </c>
      <c r="U120" s="100">
        <v>43466</v>
      </c>
      <c r="V120" s="100">
        <v>44196</v>
      </c>
      <c r="W120" s="28">
        <v>0</v>
      </c>
    </row>
    <row r="121" spans="1:23" s="25" customFormat="1" ht="105" customHeight="1">
      <c r="A121" s="53" t="s">
        <v>453</v>
      </c>
      <c r="B121" s="29">
        <v>80204250585</v>
      </c>
      <c r="C121" s="21" t="s">
        <v>267</v>
      </c>
      <c r="D121" s="21" t="s">
        <v>454</v>
      </c>
      <c r="E121" s="21" t="s">
        <v>43</v>
      </c>
      <c r="F121" s="21"/>
      <c r="H121" s="29"/>
      <c r="I121" s="29"/>
      <c r="J121" s="23" t="s">
        <v>455</v>
      </c>
      <c r="K121" s="29"/>
      <c r="L121" s="21" t="s">
        <v>456</v>
      </c>
      <c r="M121" s="29"/>
      <c r="O121" s="29"/>
      <c r="P121" s="29"/>
      <c r="Q121" s="24" t="s">
        <v>90</v>
      </c>
      <c r="R121" s="29"/>
      <c r="S121" s="25" t="s">
        <v>91</v>
      </c>
      <c r="T121" s="26">
        <v>66743.210000000006</v>
      </c>
      <c r="U121" s="100">
        <v>43507</v>
      </c>
      <c r="V121" s="100">
        <v>44967</v>
      </c>
      <c r="W121" s="28">
        <v>11276.16</v>
      </c>
    </row>
    <row r="122" spans="1:23" s="25" customFormat="1" ht="45" customHeight="1">
      <c r="A122" s="53" t="s">
        <v>457</v>
      </c>
      <c r="B122" s="29">
        <v>80204250585</v>
      </c>
      <c r="C122" s="21" t="s">
        <v>267</v>
      </c>
      <c r="D122" s="21" t="s">
        <v>458</v>
      </c>
      <c r="E122" s="21" t="s">
        <v>43</v>
      </c>
      <c r="F122" s="21"/>
      <c r="H122" s="29"/>
      <c r="I122" s="29"/>
      <c r="J122" s="23" t="s">
        <v>459</v>
      </c>
      <c r="K122" s="29"/>
      <c r="L122" s="21" t="s">
        <v>460</v>
      </c>
      <c r="M122" s="29"/>
      <c r="O122" s="29"/>
      <c r="P122" s="29"/>
      <c r="Q122" s="24" t="s">
        <v>459</v>
      </c>
      <c r="R122" s="29"/>
      <c r="S122" s="29" t="s">
        <v>460</v>
      </c>
      <c r="T122" s="26">
        <v>190000</v>
      </c>
      <c r="U122" s="100">
        <v>43617</v>
      </c>
      <c r="V122" s="100">
        <v>44711</v>
      </c>
      <c r="W122" s="28">
        <f>35.64+317.9+3714.84+14.61+29.8+48.69+36.93+4.87+4.87+9.74+38.95+53.56+4.87</f>
        <v>4315.2699999999995</v>
      </c>
    </row>
    <row r="123" spans="1:23" s="25" customFormat="1" ht="75" customHeight="1">
      <c r="A123" s="53" t="s">
        <v>461</v>
      </c>
      <c r="B123" s="29">
        <v>80204250585</v>
      </c>
      <c r="C123" s="21" t="s">
        <v>267</v>
      </c>
      <c r="D123" s="21" t="s">
        <v>462</v>
      </c>
      <c r="E123" s="21" t="s">
        <v>43</v>
      </c>
      <c r="F123" s="21"/>
      <c r="H123" s="29"/>
      <c r="I123" s="29"/>
      <c r="J123" s="23" t="s">
        <v>463</v>
      </c>
      <c r="K123" s="29"/>
      <c r="L123" s="21" t="s">
        <v>464</v>
      </c>
      <c r="M123" s="29"/>
      <c r="O123" s="29"/>
      <c r="P123" s="29"/>
      <c r="Q123" s="24" t="s">
        <v>104</v>
      </c>
      <c r="R123" s="29"/>
      <c r="S123" s="29" t="s">
        <v>465</v>
      </c>
      <c r="T123" s="26">
        <v>136788</v>
      </c>
      <c r="U123" s="100">
        <v>43525</v>
      </c>
      <c r="V123" s="100">
        <v>44620</v>
      </c>
      <c r="W123" s="28">
        <f>3486.51+3498.79+1166.26+3505.73+1179.84+1179.84+1173.21+(1179.84*3)+(1179.84*2)+1187.49+(1187.49*2)+1193.05+(1200.75*2)+1207.41+1200.75+1207.41+1207.41+(1207.42*4)</f>
        <v>37899.060000000005</v>
      </c>
    </row>
    <row r="124" spans="1:23" s="25" customFormat="1" ht="75" customHeight="1">
      <c r="A124" s="53" t="s">
        <v>466</v>
      </c>
      <c r="B124" s="29">
        <v>80204250585</v>
      </c>
      <c r="C124" s="21" t="s">
        <v>267</v>
      </c>
      <c r="D124" s="21" t="s">
        <v>467</v>
      </c>
      <c r="E124" s="21" t="s">
        <v>43</v>
      </c>
      <c r="F124" s="21"/>
      <c r="H124" s="29"/>
      <c r="I124" s="29"/>
      <c r="J124" s="23" t="s">
        <v>468</v>
      </c>
      <c r="K124" s="29"/>
      <c r="L124" s="21" t="s">
        <v>469</v>
      </c>
      <c r="M124" s="29"/>
      <c r="O124" s="29"/>
      <c r="P124" s="29"/>
      <c r="Q124" s="24"/>
      <c r="R124" s="29"/>
      <c r="S124" s="29"/>
      <c r="T124" s="26">
        <v>73140</v>
      </c>
      <c r="U124" s="100">
        <v>43525</v>
      </c>
      <c r="V124" s="100">
        <v>44620</v>
      </c>
      <c r="W124" s="28">
        <v>0</v>
      </c>
    </row>
    <row r="125" spans="1:23" s="25" customFormat="1" ht="45" customHeight="1">
      <c r="A125" s="53" t="s">
        <v>470</v>
      </c>
      <c r="B125" s="29">
        <v>80204250585</v>
      </c>
      <c r="C125" s="21" t="s">
        <v>267</v>
      </c>
      <c r="D125" s="21" t="s">
        <v>471</v>
      </c>
      <c r="E125" s="21" t="s">
        <v>48</v>
      </c>
      <c r="F125" s="21"/>
      <c r="H125" s="29"/>
      <c r="I125" s="29"/>
      <c r="J125" s="23">
        <v>3675290286</v>
      </c>
      <c r="K125" s="29"/>
      <c r="L125" s="21" t="s">
        <v>472</v>
      </c>
      <c r="M125" s="29"/>
      <c r="O125" s="29"/>
      <c r="P125" s="29"/>
      <c r="Q125" s="24" t="s">
        <v>697</v>
      </c>
      <c r="R125" s="29"/>
      <c r="S125" s="29" t="s">
        <v>472</v>
      </c>
      <c r="T125" s="26">
        <v>2024.46</v>
      </c>
      <c r="U125" s="100">
        <v>43393</v>
      </c>
      <c r="V125" s="100">
        <v>43396</v>
      </c>
      <c r="W125" s="28">
        <v>1012.22</v>
      </c>
    </row>
    <row r="126" spans="1:23" s="25" customFormat="1" ht="60" customHeight="1">
      <c r="A126" s="53" t="s">
        <v>474</v>
      </c>
      <c r="B126" s="29">
        <v>80204250585</v>
      </c>
      <c r="C126" s="21" t="s">
        <v>267</v>
      </c>
      <c r="D126" s="21" t="s">
        <v>475</v>
      </c>
      <c r="E126" s="21" t="s">
        <v>39</v>
      </c>
      <c r="F126" s="21"/>
      <c r="G126" s="29"/>
      <c r="H126" s="29"/>
      <c r="I126" s="29"/>
      <c r="J126" s="23" t="s">
        <v>152</v>
      </c>
      <c r="K126" s="29"/>
      <c r="L126" s="21" t="s">
        <v>260</v>
      </c>
      <c r="M126" s="29"/>
      <c r="N126" s="29"/>
      <c r="O126" s="29"/>
      <c r="P126" s="29"/>
      <c r="Q126" s="23" t="s">
        <v>152</v>
      </c>
      <c r="R126" s="29"/>
      <c r="S126" s="21" t="s">
        <v>260</v>
      </c>
      <c r="T126" s="26">
        <v>225210.11</v>
      </c>
      <c r="U126" s="100">
        <v>43466</v>
      </c>
      <c r="V126" s="100">
        <v>43830</v>
      </c>
      <c r="W126" s="28">
        <f>214866.77+7171.79</f>
        <v>222038.56</v>
      </c>
    </row>
    <row r="127" spans="1:23" s="25" customFormat="1" ht="150" customHeight="1">
      <c r="A127" s="53" t="s">
        <v>557</v>
      </c>
      <c r="B127" s="29">
        <v>80204250585</v>
      </c>
      <c r="C127" s="21" t="s">
        <v>267</v>
      </c>
      <c r="D127" s="21" t="s">
        <v>1211</v>
      </c>
      <c r="E127" s="21" t="s">
        <v>43</v>
      </c>
      <c r="F127" s="21"/>
      <c r="H127" s="29"/>
      <c r="I127" s="29"/>
      <c r="J127" s="23"/>
      <c r="K127" s="29"/>
      <c r="L127" s="21"/>
      <c r="M127" s="29"/>
      <c r="O127" s="29"/>
      <c r="P127" s="29"/>
      <c r="Q127" s="24" t="s">
        <v>673</v>
      </c>
      <c r="R127" s="29"/>
      <c r="S127" s="29" t="s">
        <v>672</v>
      </c>
      <c r="T127" s="26">
        <v>476666.68</v>
      </c>
      <c r="U127" s="100">
        <v>43523</v>
      </c>
      <c r="V127" s="100">
        <v>44618</v>
      </c>
      <c r="W127" s="28">
        <v>253559.11</v>
      </c>
    </row>
    <row r="128" spans="1:23" s="25" customFormat="1" ht="60" customHeight="1">
      <c r="A128" s="53" t="s">
        <v>477</v>
      </c>
      <c r="B128" s="29">
        <v>80204250585</v>
      </c>
      <c r="C128" s="21" t="s">
        <v>267</v>
      </c>
      <c r="D128" s="21" t="s">
        <v>478</v>
      </c>
      <c r="E128" s="21" t="s">
        <v>48</v>
      </c>
      <c r="F128" s="21"/>
      <c r="H128" s="29"/>
      <c r="I128" s="29"/>
      <c r="J128" s="23"/>
      <c r="K128" s="29"/>
      <c r="L128" s="21"/>
      <c r="M128" s="29"/>
      <c r="O128" s="29"/>
      <c r="P128" s="29"/>
      <c r="Q128" s="24" t="s">
        <v>177</v>
      </c>
      <c r="R128" s="29"/>
      <c r="S128" s="29" t="s">
        <v>476</v>
      </c>
      <c r="T128" s="26">
        <v>10000</v>
      </c>
      <c r="U128" s="100">
        <v>43466</v>
      </c>
      <c r="V128" s="100">
        <v>43738</v>
      </c>
      <c r="W128" s="28">
        <v>5969.89</v>
      </c>
    </row>
    <row r="129" spans="1:23" s="25" customFormat="1" ht="105" customHeight="1">
      <c r="A129" s="53" t="s">
        <v>479</v>
      </c>
      <c r="B129" s="29">
        <v>80204250585</v>
      </c>
      <c r="C129" s="21" t="s">
        <v>267</v>
      </c>
      <c r="D129" s="21" t="s">
        <v>480</v>
      </c>
      <c r="E129" s="21" t="s">
        <v>48</v>
      </c>
      <c r="F129" s="21"/>
      <c r="H129" s="29"/>
      <c r="I129" s="29"/>
      <c r="J129" s="23" t="s">
        <v>481</v>
      </c>
      <c r="K129" s="29"/>
      <c r="L129" s="21" t="s">
        <v>482</v>
      </c>
      <c r="M129" s="29"/>
      <c r="O129" s="29"/>
      <c r="P129" s="29"/>
      <c r="Q129" s="23" t="s">
        <v>696</v>
      </c>
      <c r="R129" s="29"/>
      <c r="S129" s="29" t="s">
        <v>344</v>
      </c>
      <c r="T129" s="26">
        <v>6197.13</v>
      </c>
      <c r="U129" s="100">
        <v>43530</v>
      </c>
      <c r="V129" s="100">
        <v>43600</v>
      </c>
      <c r="W129" s="28">
        <v>0</v>
      </c>
    </row>
    <row r="130" spans="1:23" s="25" customFormat="1" ht="75" customHeight="1">
      <c r="A130" s="53" t="s">
        <v>192</v>
      </c>
      <c r="B130" s="29">
        <v>80204250585</v>
      </c>
      <c r="C130" s="21" t="s">
        <v>267</v>
      </c>
      <c r="D130" s="21" t="s">
        <v>483</v>
      </c>
      <c r="E130" s="21" t="s">
        <v>48</v>
      </c>
      <c r="F130" s="21"/>
      <c r="H130" s="29"/>
      <c r="I130" s="29"/>
      <c r="J130" s="23"/>
      <c r="K130" s="29"/>
      <c r="L130" s="21"/>
      <c r="M130" s="29"/>
      <c r="O130" s="29"/>
      <c r="P130" s="29"/>
      <c r="Q130" s="23" t="s">
        <v>696</v>
      </c>
      <c r="R130" s="29"/>
      <c r="S130" s="29" t="s">
        <v>344</v>
      </c>
      <c r="T130" s="26">
        <v>415.75</v>
      </c>
      <c r="U130" s="100">
        <v>43510</v>
      </c>
      <c r="V130" s="100">
        <v>43511</v>
      </c>
      <c r="W130" s="28">
        <v>0</v>
      </c>
    </row>
    <row r="131" spans="1:23" s="25" customFormat="1" ht="75" customHeight="1">
      <c r="A131" s="53" t="s">
        <v>192</v>
      </c>
      <c r="B131" s="29">
        <v>80204250585</v>
      </c>
      <c r="C131" s="21" t="s">
        <v>267</v>
      </c>
      <c r="D131" s="21" t="s">
        <v>484</v>
      </c>
      <c r="E131" s="21" t="s">
        <v>48</v>
      </c>
      <c r="F131" s="21"/>
      <c r="H131" s="29"/>
      <c r="I131" s="29"/>
      <c r="J131" s="23"/>
      <c r="K131" s="29"/>
      <c r="L131" s="21"/>
      <c r="M131" s="29"/>
      <c r="O131" s="29"/>
      <c r="P131" s="29"/>
      <c r="Q131" s="23" t="s">
        <v>696</v>
      </c>
      <c r="R131" s="29"/>
      <c r="S131" s="29" t="s">
        <v>344</v>
      </c>
      <c r="T131" s="26">
        <v>5156.37</v>
      </c>
      <c r="U131" s="100">
        <v>43510</v>
      </c>
      <c r="V131" s="100">
        <v>43511</v>
      </c>
      <c r="W131" s="28">
        <v>0</v>
      </c>
    </row>
    <row r="132" spans="1:23" s="25" customFormat="1" ht="75" customHeight="1">
      <c r="A132" s="53" t="s">
        <v>192</v>
      </c>
      <c r="B132" s="29">
        <v>80204250585</v>
      </c>
      <c r="C132" s="21" t="s">
        <v>267</v>
      </c>
      <c r="D132" s="21" t="s">
        <v>485</v>
      </c>
      <c r="E132" s="21" t="s">
        <v>48</v>
      </c>
      <c r="F132" s="21"/>
      <c r="H132" s="29"/>
      <c r="I132" s="29"/>
      <c r="J132" s="23"/>
      <c r="K132" s="29"/>
      <c r="L132" s="21"/>
      <c r="M132" s="29"/>
      <c r="O132" s="29"/>
      <c r="P132" s="29"/>
      <c r="Q132" s="23" t="s">
        <v>696</v>
      </c>
      <c r="R132" s="29"/>
      <c r="S132" s="29" t="s">
        <v>344</v>
      </c>
      <c r="T132" s="26">
        <v>6485.68</v>
      </c>
      <c r="U132" s="100">
        <v>43510</v>
      </c>
      <c r="V132" s="100">
        <v>43511</v>
      </c>
      <c r="W132" s="28">
        <v>0</v>
      </c>
    </row>
    <row r="133" spans="1:23" s="25" customFormat="1" ht="60" customHeight="1">
      <c r="A133" s="53" t="s">
        <v>486</v>
      </c>
      <c r="B133" s="29">
        <v>80204250585</v>
      </c>
      <c r="C133" s="21" t="s">
        <v>267</v>
      </c>
      <c r="D133" s="21" t="s">
        <v>487</v>
      </c>
      <c r="E133" s="21" t="s">
        <v>48</v>
      </c>
      <c r="F133" s="21"/>
      <c r="H133" s="29"/>
      <c r="I133" s="29"/>
      <c r="J133" s="23">
        <v>12156521002</v>
      </c>
      <c r="K133" s="29"/>
      <c r="L133" s="21" t="s">
        <v>488</v>
      </c>
      <c r="M133" s="29"/>
      <c r="O133" s="29"/>
      <c r="P133" s="29"/>
      <c r="Q133" s="24">
        <v>12156521002</v>
      </c>
      <c r="R133" s="29"/>
      <c r="S133" s="29" t="s">
        <v>488</v>
      </c>
      <c r="T133" s="26">
        <v>19200</v>
      </c>
      <c r="U133" s="100">
        <v>43525</v>
      </c>
      <c r="V133" s="100">
        <v>43890</v>
      </c>
      <c r="W133" s="35">
        <v>16602.95</v>
      </c>
    </row>
    <row r="134" spans="1:23" s="25" customFormat="1" ht="90" customHeight="1">
      <c r="A134" s="53" t="s">
        <v>489</v>
      </c>
      <c r="B134" s="29">
        <v>80204250585</v>
      </c>
      <c r="C134" s="21" t="s">
        <v>267</v>
      </c>
      <c r="D134" s="21" t="s">
        <v>219</v>
      </c>
      <c r="E134" s="21" t="s">
        <v>48</v>
      </c>
      <c r="F134" s="21"/>
      <c r="H134" s="29"/>
      <c r="I134" s="29"/>
      <c r="J134" s="23">
        <v>3533961003</v>
      </c>
      <c r="K134" s="29"/>
      <c r="L134" s="21" t="s">
        <v>275</v>
      </c>
      <c r="M134" s="29"/>
      <c r="O134" s="29"/>
      <c r="P134" s="29"/>
      <c r="Q134" s="24" t="s">
        <v>220</v>
      </c>
      <c r="R134" s="29"/>
      <c r="S134" s="29" t="s">
        <v>275</v>
      </c>
      <c r="T134" s="26">
        <v>24576.87</v>
      </c>
      <c r="U134" s="100">
        <v>43466</v>
      </c>
      <c r="V134" s="100">
        <v>43555</v>
      </c>
      <c r="W134" s="28">
        <v>8237.89</v>
      </c>
    </row>
    <row r="135" spans="1:23" s="25" customFormat="1" ht="60" customHeight="1">
      <c r="A135" s="53">
        <v>7774728482</v>
      </c>
      <c r="B135" s="29">
        <v>80204250585</v>
      </c>
      <c r="C135" s="21" t="s">
        <v>267</v>
      </c>
      <c r="D135" s="21" t="s">
        <v>492</v>
      </c>
      <c r="E135" s="21" t="s">
        <v>43</v>
      </c>
      <c r="F135" s="21"/>
      <c r="H135" s="29"/>
      <c r="I135" s="29"/>
      <c r="J135" s="23"/>
      <c r="K135" s="29"/>
      <c r="L135" s="21"/>
      <c r="M135" s="29"/>
      <c r="O135" s="29"/>
      <c r="P135" s="29"/>
      <c r="Q135" s="24">
        <v>11673301005</v>
      </c>
      <c r="R135" s="29"/>
      <c r="S135" s="29" t="s">
        <v>183</v>
      </c>
      <c r="T135" s="26">
        <v>164500</v>
      </c>
      <c r="U135" s="100">
        <v>43466</v>
      </c>
      <c r="V135" s="100">
        <v>43830</v>
      </c>
      <c r="W135" s="28">
        <v>82866.89</v>
      </c>
    </row>
    <row r="136" spans="1:23" s="25" customFormat="1" ht="75" customHeight="1">
      <c r="A136" s="53" t="s">
        <v>494</v>
      </c>
      <c r="B136" s="29">
        <v>80204250585</v>
      </c>
      <c r="C136" s="21" t="s">
        <v>267</v>
      </c>
      <c r="D136" s="22" t="s">
        <v>495</v>
      </c>
      <c r="E136" s="21" t="s">
        <v>48</v>
      </c>
      <c r="F136" s="21"/>
      <c r="H136" s="29"/>
      <c r="I136" s="29"/>
      <c r="J136" s="23"/>
      <c r="K136" s="29"/>
      <c r="L136" s="21"/>
      <c r="M136" s="29"/>
      <c r="O136" s="29"/>
      <c r="P136" s="29"/>
      <c r="Q136" s="24" t="s">
        <v>496</v>
      </c>
      <c r="R136" s="29"/>
      <c r="S136" s="29" t="s">
        <v>497</v>
      </c>
      <c r="T136" s="26">
        <v>7500</v>
      </c>
      <c r="U136" s="100">
        <v>43556</v>
      </c>
      <c r="V136" s="100">
        <v>43830</v>
      </c>
      <c r="W136" s="28">
        <v>7500</v>
      </c>
    </row>
    <row r="137" spans="1:23" s="25" customFormat="1" ht="75" customHeight="1">
      <c r="A137" s="53" t="s">
        <v>499</v>
      </c>
      <c r="B137" s="29">
        <v>80204250585</v>
      </c>
      <c r="C137" s="21" t="s">
        <v>267</v>
      </c>
      <c r="D137" s="21" t="s">
        <v>500</v>
      </c>
      <c r="E137" s="21" t="s">
        <v>39</v>
      </c>
      <c r="F137" s="21"/>
      <c r="H137" s="29"/>
      <c r="I137" s="29"/>
      <c r="J137" s="23"/>
      <c r="K137" s="29"/>
      <c r="L137" s="21"/>
      <c r="M137" s="29"/>
      <c r="O137" s="29"/>
      <c r="P137" s="29"/>
      <c r="Q137" s="24" t="s">
        <v>174</v>
      </c>
      <c r="R137" s="29"/>
      <c r="S137" s="29" t="s">
        <v>99</v>
      </c>
      <c r="T137" s="26">
        <v>41761.61</v>
      </c>
      <c r="U137" s="100">
        <v>43542</v>
      </c>
      <c r="V137" s="100">
        <v>44272</v>
      </c>
      <c r="W137" s="28">
        <v>0</v>
      </c>
    </row>
    <row r="138" spans="1:23" s="25" customFormat="1" ht="75" customHeight="1">
      <c r="A138" s="53" t="s">
        <v>501</v>
      </c>
      <c r="B138" s="29">
        <v>80204250585</v>
      </c>
      <c r="C138" s="21" t="s">
        <v>267</v>
      </c>
      <c r="D138" s="21" t="s">
        <v>502</v>
      </c>
      <c r="E138" s="21" t="s">
        <v>39</v>
      </c>
      <c r="F138" s="21"/>
      <c r="H138" s="29"/>
      <c r="I138" s="29"/>
      <c r="J138" s="23"/>
      <c r="K138" s="29"/>
      <c r="L138" s="21"/>
      <c r="M138" s="29"/>
      <c r="O138" s="29"/>
      <c r="P138" s="29"/>
      <c r="Q138" s="24" t="s">
        <v>174</v>
      </c>
      <c r="R138" s="29"/>
      <c r="S138" s="29" t="s">
        <v>99</v>
      </c>
      <c r="T138" s="26">
        <v>41761.61</v>
      </c>
      <c r="U138" s="100">
        <v>43617</v>
      </c>
      <c r="V138" s="100">
        <v>44347</v>
      </c>
      <c r="W138" s="28">
        <v>0</v>
      </c>
    </row>
    <row r="139" spans="1:23" s="25" customFormat="1" ht="75" customHeight="1">
      <c r="A139" s="53" t="s">
        <v>503</v>
      </c>
      <c r="B139" s="29">
        <v>80204250585</v>
      </c>
      <c r="C139" s="21" t="s">
        <v>267</v>
      </c>
      <c r="D139" s="21" t="s">
        <v>504</v>
      </c>
      <c r="E139" s="21" t="s">
        <v>51</v>
      </c>
      <c r="F139" s="21"/>
      <c r="H139" s="29"/>
      <c r="I139" s="29"/>
      <c r="J139" s="23"/>
      <c r="K139" s="29"/>
      <c r="L139" s="21"/>
      <c r="M139" s="29"/>
      <c r="O139" s="29"/>
      <c r="P139" s="29"/>
      <c r="Q139" s="24" t="s">
        <v>90</v>
      </c>
      <c r="R139" s="29"/>
      <c r="S139" s="25" t="s">
        <v>91</v>
      </c>
      <c r="T139" s="26">
        <f>35000+6384.9+3192.45</f>
        <v>44577.35</v>
      </c>
      <c r="U139" s="100">
        <v>43535</v>
      </c>
      <c r="V139" s="100">
        <v>44455</v>
      </c>
      <c r="W139" s="35">
        <f>32759.38+7522.49+5385.52+7363.21+6838.83+6876.52+6951.49+7120.84+6791.5</f>
        <v>87609.78</v>
      </c>
    </row>
    <row r="140" spans="1:23" s="25" customFormat="1" ht="60" customHeight="1">
      <c r="A140" s="79" t="s">
        <v>505</v>
      </c>
      <c r="B140" s="29">
        <v>80204250585</v>
      </c>
      <c r="C140" s="21" t="s">
        <v>267</v>
      </c>
      <c r="D140" s="21" t="s">
        <v>506</v>
      </c>
      <c r="E140" s="21" t="s">
        <v>51</v>
      </c>
      <c r="F140" s="21"/>
      <c r="H140" s="29"/>
      <c r="I140" s="29"/>
      <c r="J140" s="23"/>
      <c r="K140" s="29"/>
      <c r="L140" s="21"/>
      <c r="M140" s="29"/>
      <c r="O140" s="29"/>
      <c r="P140" s="29"/>
      <c r="Q140" s="24" t="s">
        <v>190</v>
      </c>
      <c r="S140" s="25" t="s">
        <v>191</v>
      </c>
      <c r="T140" s="26">
        <v>117930.6</v>
      </c>
      <c r="U140" s="100">
        <v>43538</v>
      </c>
      <c r="V140" s="100">
        <v>44633</v>
      </c>
      <c r="W140" s="28">
        <f>96664.197+2658.3+2658.3+2658.3+2658.3+2658.3+2658.3</f>
        <v>112613.99700000002</v>
      </c>
    </row>
    <row r="141" spans="1:23" s="25" customFormat="1" ht="75" customHeight="1">
      <c r="A141" s="31">
        <v>7789193567</v>
      </c>
      <c r="B141" s="29">
        <v>80204250585</v>
      </c>
      <c r="C141" s="21" t="s">
        <v>267</v>
      </c>
      <c r="D141" s="21" t="s">
        <v>507</v>
      </c>
      <c r="E141" s="21" t="s">
        <v>51</v>
      </c>
      <c r="F141" s="21"/>
      <c r="H141" s="29"/>
      <c r="I141" s="29"/>
      <c r="J141" s="23"/>
      <c r="K141" s="29"/>
      <c r="L141" s="21"/>
      <c r="M141" s="29"/>
      <c r="O141" s="29"/>
      <c r="P141" s="29"/>
      <c r="Q141" s="24" t="s">
        <v>306</v>
      </c>
      <c r="R141" s="29"/>
      <c r="S141" s="29" t="s">
        <v>307</v>
      </c>
      <c r="T141" s="26">
        <v>104266.25</v>
      </c>
      <c r="U141" s="100">
        <v>43507</v>
      </c>
      <c r="V141" s="100">
        <v>43507</v>
      </c>
      <c r="W141" s="28">
        <v>101090</v>
      </c>
    </row>
    <row r="142" spans="1:23" s="25" customFormat="1" ht="60" customHeight="1">
      <c r="A142" s="53" t="s">
        <v>510</v>
      </c>
      <c r="B142" s="29">
        <v>80204250585</v>
      </c>
      <c r="C142" s="21" t="s">
        <v>267</v>
      </c>
      <c r="D142" s="21" t="s">
        <v>511</v>
      </c>
      <c r="E142" s="21" t="s">
        <v>51</v>
      </c>
      <c r="F142" s="21"/>
      <c r="H142" s="29"/>
      <c r="I142" s="29"/>
      <c r="J142" s="23"/>
      <c r="K142" s="29"/>
      <c r="L142" s="21"/>
      <c r="M142" s="29"/>
      <c r="O142" s="29"/>
      <c r="P142" s="29"/>
      <c r="Q142" s="24">
        <v>2973040963</v>
      </c>
      <c r="R142" s="29"/>
      <c r="S142" s="29" t="s">
        <v>512</v>
      </c>
      <c r="T142" s="26">
        <v>3154.08</v>
      </c>
      <c r="U142" s="100"/>
      <c r="V142" s="100"/>
      <c r="W142" s="28">
        <v>0</v>
      </c>
    </row>
    <row r="143" spans="1:23" s="25" customFormat="1" ht="90" customHeight="1">
      <c r="A143" s="53" t="s">
        <v>513</v>
      </c>
      <c r="B143" s="29">
        <v>80204250585</v>
      </c>
      <c r="C143" s="21" t="s">
        <v>267</v>
      </c>
      <c r="D143" s="21" t="s">
        <v>514</v>
      </c>
      <c r="E143" s="21" t="s">
        <v>39</v>
      </c>
      <c r="F143" s="21"/>
      <c r="H143" s="29"/>
      <c r="I143" s="29"/>
      <c r="J143" s="23"/>
      <c r="K143" s="29"/>
      <c r="L143" s="21"/>
      <c r="M143" s="29"/>
      <c r="O143" s="29"/>
      <c r="P143" s="29"/>
      <c r="Q143" s="24" t="s">
        <v>153</v>
      </c>
      <c r="R143" s="29"/>
      <c r="S143" s="29" t="s">
        <v>515</v>
      </c>
      <c r="T143" s="26">
        <v>2574</v>
      </c>
      <c r="U143" s="100">
        <v>43617</v>
      </c>
      <c r="V143" s="100">
        <v>44347</v>
      </c>
      <c r="W143" s="35">
        <f>1280.57+1293.43</f>
        <v>2574</v>
      </c>
    </row>
    <row r="144" spans="1:23" s="25" customFormat="1" ht="45" customHeight="1">
      <c r="A144" s="53" t="s">
        <v>516</v>
      </c>
      <c r="B144" s="29">
        <v>80204250585</v>
      </c>
      <c r="C144" s="21" t="s">
        <v>267</v>
      </c>
      <c r="D144" s="21" t="s">
        <v>517</v>
      </c>
      <c r="E144" s="21" t="s">
        <v>39</v>
      </c>
      <c r="F144" s="21"/>
      <c r="H144" s="29"/>
      <c r="I144" s="29"/>
      <c r="J144" s="23"/>
      <c r="K144" s="29"/>
      <c r="L144" s="21"/>
      <c r="M144" s="29"/>
      <c r="O144" s="29"/>
      <c r="P144" s="29"/>
      <c r="Q144" s="24" t="s">
        <v>153</v>
      </c>
      <c r="R144" s="29"/>
      <c r="S144" s="29" t="s">
        <v>515</v>
      </c>
      <c r="T144" s="26">
        <v>11800</v>
      </c>
      <c r="U144" s="100">
        <v>43594</v>
      </c>
      <c r="V144" s="100">
        <v>44324</v>
      </c>
      <c r="W144" s="35">
        <f>4417.63+1475+1475+1475+1475+1482.37</f>
        <v>11800</v>
      </c>
    </row>
    <row r="145" spans="1:23" s="25" customFormat="1" ht="60" customHeight="1">
      <c r="A145" s="31">
        <v>7721605905</v>
      </c>
      <c r="B145" s="29">
        <v>80204250585</v>
      </c>
      <c r="C145" s="21" t="s">
        <v>267</v>
      </c>
      <c r="D145" s="21" t="s">
        <v>430</v>
      </c>
      <c r="E145" s="21" t="s">
        <v>39</v>
      </c>
      <c r="F145" s="21"/>
      <c r="H145" s="29"/>
      <c r="I145" s="29"/>
      <c r="J145" s="23"/>
      <c r="K145" s="29"/>
      <c r="L145" s="21"/>
      <c r="M145" s="29"/>
      <c r="O145" s="29"/>
      <c r="P145" s="29"/>
      <c r="Q145" s="23" t="s">
        <v>256</v>
      </c>
      <c r="R145" s="29"/>
      <c r="S145" s="29" t="s">
        <v>431</v>
      </c>
      <c r="T145" s="26">
        <v>41900</v>
      </c>
      <c r="U145" s="100">
        <v>43466</v>
      </c>
      <c r="V145" s="100">
        <v>43830</v>
      </c>
      <c r="W145" s="123">
        <v>0</v>
      </c>
    </row>
    <row r="146" spans="1:23" s="25" customFormat="1" ht="75" customHeight="1">
      <c r="A146" s="53" t="s">
        <v>518</v>
      </c>
      <c r="B146" s="29">
        <v>80204250585</v>
      </c>
      <c r="C146" s="21" t="s">
        <v>267</v>
      </c>
      <c r="D146" s="21" t="s">
        <v>519</v>
      </c>
      <c r="E146" s="21" t="s">
        <v>48</v>
      </c>
      <c r="F146" s="21"/>
      <c r="H146" s="29"/>
      <c r="I146" s="29"/>
      <c r="J146" s="23"/>
      <c r="K146" s="29"/>
      <c r="L146" s="21"/>
      <c r="M146" s="29"/>
      <c r="O146" s="29"/>
      <c r="P146" s="29"/>
      <c r="Q146" s="23" t="s">
        <v>152</v>
      </c>
      <c r="R146" s="29"/>
      <c r="S146" s="21" t="s">
        <v>260</v>
      </c>
      <c r="T146" s="26">
        <v>10000</v>
      </c>
      <c r="U146" s="100">
        <v>43559</v>
      </c>
      <c r="V146" s="100">
        <v>43830</v>
      </c>
      <c r="W146" s="28">
        <v>2807.81</v>
      </c>
    </row>
    <row r="147" spans="1:23" s="25" customFormat="1" ht="60" customHeight="1">
      <c r="A147" s="53" t="s">
        <v>520</v>
      </c>
      <c r="B147" s="29">
        <v>80204250585</v>
      </c>
      <c r="C147" s="21" t="s">
        <v>267</v>
      </c>
      <c r="D147" s="21" t="s">
        <v>521</v>
      </c>
      <c r="E147" s="21" t="s">
        <v>48</v>
      </c>
      <c r="F147" s="21"/>
      <c r="H147" s="29"/>
      <c r="I147" s="29"/>
      <c r="J147" s="23"/>
      <c r="K147" s="29"/>
      <c r="L147" s="21"/>
      <c r="M147" s="29"/>
      <c r="O147" s="29"/>
      <c r="P147" s="29"/>
      <c r="Q147" s="24"/>
      <c r="R147" s="29"/>
      <c r="S147" s="29" t="s">
        <v>522</v>
      </c>
      <c r="T147" s="26">
        <v>5100</v>
      </c>
      <c r="U147" s="100">
        <v>43647</v>
      </c>
      <c r="V147" s="100">
        <v>44377</v>
      </c>
      <c r="W147" s="28">
        <f>1275+1275+1275</f>
        <v>3825</v>
      </c>
    </row>
    <row r="148" spans="1:23" s="25" customFormat="1" ht="75" customHeight="1">
      <c r="A148" s="53" t="s">
        <v>524</v>
      </c>
      <c r="B148" s="29">
        <v>80204250585</v>
      </c>
      <c r="C148" s="21" t="s">
        <v>267</v>
      </c>
      <c r="D148" s="21" t="s">
        <v>525</v>
      </c>
      <c r="E148" s="21" t="s">
        <v>48</v>
      </c>
      <c r="F148" s="21"/>
      <c r="H148" s="29"/>
      <c r="I148" s="29"/>
      <c r="J148" s="23"/>
      <c r="K148" s="29"/>
      <c r="L148" s="21"/>
      <c r="M148" s="29"/>
      <c r="O148" s="29"/>
      <c r="P148" s="29"/>
      <c r="Q148" s="24">
        <v>10701020157</v>
      </c>
      <c r="R148" s="29"/>
      <c r="S148" s="29" t="s">
        <v>526</v>
      </c>
      <c r="T148" s="26">
        <v>3916</v>
      </c>
      <c r="U148" s="100">
        <v>43585</v>
      </c>
      <c r="V148" s="100">
        <v>44315</v>
      </c>
      <c r="W148" s="28">
        <f>979+979+979+979</f>
        <v>3916</v>
      </c>
    </row>
    <row r="149" spans="1:23" s="25" customFormat="1" ht="75" customHeight="1">
      <c r="A149" s="31">
        <v>7939204665</v>
      </c>
      <c r="B149" s="29">
        <v>80204250585</v>
      </c>
      <c r="C149" s="21" t="s">
        <v>267</v>
      </c>
      <c r="D149" s="21" t="s">
        <v>527</v>
      </c>
      <c r="E149" s="21" t="s">
        <v>51</v>
      </c>
      <c r="F149" s="21"/>
      <c r="H149" s="29"/>
      <c r="I149" s="29"/>
      <c r="J149" s="23">
        <v>488410010</v>
      </c>
      <c r="K149" s="29"/>
      <c r="L149" s="22" t="s">
        <v>91</v>
      </c>
      <c r="M149" s="29"/>
      <c r="O149" s="29"/>
      <c r="P149" s="29"/>
      <c r="Q149" s="36" t="s">
        <v>90</v>
      </c>
      <c r="R149" s="29"/>
      <c r="S149" s="25" t="s">
        <v>91</v>
      </c>
      <c r="T149" s="26">
        <v>885127.5</v>
      </c>
      <c r="U149" s="100">
        <v>43647</v>
      </c>
      <c r="V149" s="100">
        <v>44742</v>
      </c>
      <c r="W149" s="28">
        <f>295042.5*2+295042.5</f>
        <v>885127.5</v>
      </c>
    </row>
    <row r="150" spans="1:23" s="25" customFormat="1" ht="105" customHeight="1">
      <c r="A150" s="53" t="s">
        <v>529</v>
      </c>
      <c r="B150" s="29">
        <v>80204250585</v>
      </c>
      <c r="C150" s="21" t="s">
        <v>267</v>
      </c>
      <c r="D150" s="21" t="s">
        <v>530</v>
      </c>
      <c r="E150" s="21" t="s">
        <v>51</v>
      </c>
      <c r="F150" s="21"/>
      <c r="H150" s="29"/>
      <c r="I150" s="29"/>
      <c r="J150" s="24" t="s">
        <v>328</v>
      </c>
      <c r="K150" s="29"/>
      <c r="L150" s="21" t="s">
        <v>531</v>
      </c>
      <c r="M150" s="29"/>
      <c r="O150" s="29"/>
      <c r="P150" s="29"/>
      <c r="Q150" s="24" t="s">
        <v>328</v>
      </c>
      <c r="R150" s="29"/>
      <c r="S150" s="29" t="s">
        <v>531</v>
      </c>
      <c r="T150" s="26">
        <v>6336.06</v>
      </c>
      <c r="U150" s="100">
        <v>43587</v>
      </c>
      <c r="V150" s="100">
        <v>44585</v>
      </c>
      <c r="W150" s="28">
        <f>806.45+195.82+403.03+210.69+138.07+87.33</f>
        <v>1841.3899999999999</v>
      </c>
    </row>
    <row r="151" spans="1:23" s="25" customFormat="1" ht="105" customHeight="1">
      <c r="A151" s="53" t="s">
        <v>532</v>
      </c>
      <c r="B151" s="29">
        <v>80204250585</v>
      </c>
      <c r="C151" s="21" t="s">
        <v>267</v>
      </c>
      <c r="D151" s="21" t="s">
        <v>533</v>
      </c>
      <c r="E151" s="21" t="s">
        <v>48</v>
      </c>
      <c r="F151" s="21"/>
      <c r="H151" s="29"/>
      <c r="I151" s="29"/>
      <c r="J151" s="23"/>
      <c r="K151" s="29"/>
      <c r="L151" s="21"/>
      <c r="M151" s="29"/>
      <c r="O151" s="29"/>
      <c r="P151" s="29"/>
      <c r="Q151" s="24" t="s">
        <v>698</v>
      </c>
      <c r="R151" s="29"/>
      <c r="S151" s="29" t="s">
        <v>491</v>
      </c>
      <c r="T151" s="26">
        <v>4336</v>
      </c>
      <c r="U151" s="100">
        <v>43591</v>
      </c>
      <c r="V151" s="100">
        <v>43616</v>
      </c>
      <c r="W151" s="28">
        <v>0</v>
      </c>
    </row>
    <row r="152" spans="1:23" s="25" customFormat="1" ht="75" customHeight="1">
      <c r="A152" s="53" t="s">
        <v>534</v>
      </c>
      <c r="B152" s="29">
        <v>80204250585</v>
      </c>
      <c r="C152" s="21" t="s">
        <v>267</v>
      </c>
      <c r="D152" s="21" t="s">
        <v>535</v>
      </c>
      <c r="E152" s="21" t="s">
        <v>48</v>
      </c>
      <c r="F152" s="21"/>
      <c r="H152" s="29"/>
      <c r="I152" s="29"/>
      <c r="J152" s="23"/>
      <c r="K152" s="29"/>
      <c r="L152" s="21"/>
      <c r="M152" s="29"/>
      <c r="O152" s="29"/>
      <c r="P152" s="29"/>
      <c r="Q152" s="24" t="s">
        <v>698</v>
      </c>
      <c r="R152" s="29"/>
      <c r="S152" s="29" t="s">
        <v>491</v>
      </c>
      <c r="T152" s="26">
        <v>4720</v>
      </c>
      <c r="U152" s="100">
        <v>43564</v>
      </c>
      <c r="V152" s="100">
        <v>43575</v>
      </c>
      <c r="W152" s="28">
        <v>0</v>
      </c>
    </row>
    <row r="153" spans="1:23" s="25" customFormat="1" ht="60" customHeight="1">
      <c r="A153" s="53" t="s">
        <v>536</v>
      </c>
      <c r="B153" s="29">
        <v>80204250585</v>
      </c>
      <c r="C153" s="21" t="s">
        <v>267</v>
      </c>
      <c r="D153" s="21" t="s">
        <v>528</v>
      </c>
      <c r="E153" s="21" t="s">
        <v>39</v>
      </c>
      <c r="F153" s="21"/>
      <c r="H153" s="29"/>
      <c r="I153" s="29"/>
      <c r="J153" s="23"/>
      <c r="K153" s="29"/>
      <c r="L153" s="21"/>
      <c r="M153" s="29"/>
      <c r="O153" s="29"/>
      <c r="P153" s="29"/>
      <c r="Q153" s="24">
        <v>11334081004</v>
      </c>
      <c r="R153" s="29"/>
      <c r="S153" s="29" t="s">
        <v>295</v>
      </c>
      <c r="T153" s="26">
        <v>39360</v>
      </c>
      <c r="U153" s="100">
        <v>43617</v>
      </c>
      <c r="V153" s="100">
        <v>43982</v>
      </c>
      <c r="W153" s="28">
        <f>(672.13*6)+590.16+(336.07*5)</f>
        <v>6303.2899999999991</v>
      </c>
    </row>
    <row r="154" spans="1:23" s="25" customFormat="1" ht="75" customHeight="1">
      <c r="A154" s="53" t="s">
        <v>537</v>
      </c>
      <c r="B154" s="29">
        <v>80204250585</v>
      </c>
      <c r="C154" s="21" t="s">
        <v>267</v>
      </c>
      <c r="D154" s="21" t="s">
        <v>538</v>
      </c>
      <c r="E154" s="21" t="s">
        <v>39</v>
      </c>
      <c r="F154" s="21"/>
      <c r="H154" s="29"/>
      <c r="I154" s="29"/>
      <c r="J154" s="23"/>
      <c r="K154" s="29"/>
      <c r="L154" s="21"/>
      <c r="M154" s="29"/>
      <c r="O154" s="29"/>
      <c r="P154" s="29"/>
      <c r="Q154" s="24" t="s">
        <v>189</v>
      </c>
      <c r="R154" s="29"/>
      <c r="S154" s="29" t="s">
        <v>539</v>
      </c>
      <c r="T154" s="26">
        <v>37529</v>
      </c>
      <c r="U154" s="100">
        <v>43617</v>
      </c>
      <c r="V154" s="100">
        <v>44347</v>
      </c>
      <c r="W154" s="28">
        <f>9382.2+4691.1+4691.1+4691.1+4691.1+7818.5</f>
        <v>35965.1</v>
      </c>
    </row>
    <row r="155" spans="1:23" s="25" customFormat="1" ht="75" customHeight="1">
      <c r="A155" s="53" t="s">
        <v>540</v>
      </c>
      <c r="B155" s="29">
        <v>80204250585</v>
      </c>
      <c r="C155" s="21" t="s">
        <v>267</v>
      </c>
      <c r="D155" s="21" t="s">
        <v>541</v>
      </c>
      <c r="E155" s="21" t="s">
        <v>51</v>
      </c>
      <c r="F155" s="21"/>
      <c r="H155" s="29"/>
      <c r="I155" s="29"/>
      <c r="J155" s="24" t="s">
        <v>217</v>
      </c>
      <c r="K155" s="29"/>
      <c r="L155" s="21" t="s">
        <v>542</v>
      </c>
      <c r="M155" s="29"/>
      <c r="O155" s="29"/>
      <c r="P155" s="29"/>
      <c r="Q155" s="24" t="s">
        <v>217</v>
      </c>
      <c r="R155" s="29"/>
      <c r="S155" s="29" t="s">
        <v>542</v>
      </c>
      <c r="T155" s="26">
        <v>650000</v>
      </c>
      <c r="U155" s="100">
        <v>43586</v>
      </c>
      <c r="V155" s="100">
        <v>43951</v>
      </c>
      <c r="W155" s="28">
        <f>306988.86+2332.1+32695.62+37217.54+3490.83+24445.21+2209.29</f>
        <v>409379.44999999995</v>
      </c>
    </row>
    <row r="156" spans="1:23" s="25" customFormat="1" ht="90" customHeight="1">
      <c r="A156" s="53" t="s">
        <v>543</v>
      </c>
      <c r="B156" s="29">
        <v>80204250585</v>
      </c>
      <c r="C156" s="21" t="s">
        <v>267</v>
      </c>
      <c r="D156" s="21" t="s">
        <v>544</v>
      </c>
      <c r="E156" s="21" t="s">
        <v>48</v>
      </c>
      <c r="F156" s="21"/>
      <c r="H156" s="29"/>
      <c r="I156" s="29"/>
      <c r="J156" s="23"/>
      <c r="K156" s="29"/>
      <c r="L156" s="21"/>
      <c r="M156" s="29"/>
      <c r="O156" s="29"/>
      <c r="P156" s="29"/>
      <c r="Q156" s="24">
        <v>14309031004</v>
      </c>
      <c r="R156" s="29"/>
      <c r="S156" s="29" t="s">
        <v>545</v>
      </c>
      <c r="T156" s="26">
        <v>1560</v>
      </c>
      <c r="U156" s="100">
        <v>43647</v>
      </c>
      <c r="V156" s="100">
        <v>44743</v>
      </c>
      <c r="W156" s="28">
        <v>520</v>
      </c>
    </row>
    <row r="157" spans="1:23" s="25" customFormat="1" ht="90" customHeight="1">
      <c r="A157" s="53" t="s">
        <v>547</v>
      </c>
      <c r="B157" s="29">
        <v>80204250585</v>
      </c>
      <c r="C157" s="21" t="s">
        <v>267</v>
      </c>
      <c r="D157" s="21" t="s">
        <v>548</v>
      </c>
      <c r="E157" s="21" t="s">
        <v>51</v>
      </c>
      <c r="F157" s="21"/>
      <c r="H157" s="29"/>
      <c r="I157" s="29"/>
      <c r="J157" s="23"/>
      <c r="K157" s="29"/>
      <c r="L157" s="21"/>
      <c r="M157" s="29"/>
      <c r="O157" s="29"/>
      <c r="P157" s="29"/>
      <c r="Q157" s="24">
        <v>11986091004</v>
      </c>
      <c r="R157" s="29"/>
      <c r="S157" s="29" t="s">
        <v>546</v>
      </c>
      <c r="T157" s="26">
        <v>2082.25</v>
      </c>
      <c r="U157" s="100">
        <v>43563</v>
      </c>
      <c r="V157" s="100">
        <v>43585</v>
      </c>
      <c r="W157" s="28">
        <v>0</v>
      </c>
    </row>
    <row r="158" spans="1:23" s="25" customFormat="1" ht="105" customHeight="1">
      <c r="A158" s="53" t="s">
        <v>549</v>
      </c>
      <c r="B158" s="29">
        <v>80204250585</v>
      </c>
      <c r="C158" s="21" t="s">
        <v>267</v>
      </c>
      <c r="D158" s="21" t="s">
        <v>550</v>
      </c>
      <c r="E158" s="21" t="s">
        <v>48</v>
      </c>
      <c r="F158" s="21"/>
      <c r="H158" s="29"/>
      <c r="I158" s="29"/>
      <c r="J158" s="23"/>
      <c r="K158" s="29"/>
      <c r="L158" s="21"/>
      <c r="M158" s="29"/>
      <c r="O158" s="29"/>
      <c r="P158" s="29"/>
      <c r="Q158" s="24" t="s">
        <v>419</v>
      </c>
      <c r="R158" s="29"/>
      <c r="S158" s="29" t="s">
        <v>551</v>
      </c>
      <c r="T158" s="26">
        <v>4500</v>
      </c>
      <c r="U158" s="100">
        <v>43593</v>
      </c>
      <c r="V158" s="100">
        <v>43661</v>
      </c>
      <c r="W158" s="28">
        <f>1278.69+3120</f>
        <v>4398.6900000000005</v>
      </c>
    </row>
    <row r="159" spans="1:23" s="25" customFormat="1" ht="150" customHeight="1">
      <c r="A159" s="53" t="s">
        <v>552</v>
      </c>
      <c r="B159" s="29">
        <v>80204250585</v>
      </c>
      <c r="C159" s="21" t="s">
        <v>267</v>
      </c>
      <c r="D159" s="21" t="s">
        <v>553</v>
      </c>
      <c r="E159" s="21" t="s">
        <v>48</v>
      </c>
      <c r="F159" s="21"/>
      <c r="H159" s="29"/>
      <c r="I159" s="29"/>
      <c r="J159" s="23" t="s">
        <v>554</v>
      </c>
      <c r="K159" s="29"/>
      <c r="L159" s="21" t="s">
        <v>555</v>
      </c>
      <c r="M159" s="29"/>
      <c r="O159" s="29"/>
      <c r="P159" s="29"/>
      <c r="Q159" s="24">
        <v>2963700212</v>
      </c>
      <c r="R159" s="29"/>
      <c r="S159" s="29" t="s">
        <v>556</v>
      </c>
      <c r="T159" s="26">
        <v>40033</v>
      </c>
      <c r="U159" s="100">
        <v>43617</v>
      </c>
      <c r="V159" s="100">
        <v>44712</v>
      </c>
      <c r="W159" s="28">
        <f>(1099*6)+735+364+(10*8)+(1340.78*3)+12.2+364+364+364+364+74.2+364+371+364+371+364+371+364+364+364+371+364+371+364+60.67+364+371+371+364+10+1099+371+(364*4)+371+364+371+364+(364*10)+(371*4)+(364*9)+(371*5)</f>
        <v>34296.410000000003</v>
      </c>
    </row>
    <row r="160" spans="1:23" s="25" customFormat="1" ht="75" customHeight="1">
      <c r="A160" s="53" t="s">
        <v>558</v>
      </c>
      <c r="B160" s="29">
        <v>80204250585</v>
      </c>
      <c r="C160" s="21" t="s">
        <v>267</v>
      </c>
      <c r="D160" s="21" t="s">
        <v>559</v>
      </c>
      <c r="E160" s="21" t="s">
        <v>48</v>
      </c>
      <c r="F160" s="21"/>
      <c r="H160" s="29"/>
      <c r="I160" s="29"/>
      <c r="J160" s="23"/>
      <c r="K160" s="29"/>
      <c r="L160" s="21"/>
      <c r="M160" s="29"/>
      <c r="O160" s="29"/>
      <c r="P160" s="29"/>
      <c r="Q160" s="61" t="s">
        <v>560</v>
      </c>
      <c r="R160" s="29"/>
      <c r="S160" s="29" t="s">
        <v>561</v>
      </c>
      <c r="T160" s="26">
        <v>1550</v>
      </c>
      <c r="U160" s="100">
        <v>43613</v>
      </c>
      <c r="V160" s="100">
        <v>43614</v>
      </c>
      <c r="W160" s="28">
        <v>0</v>
      </c>
    </row>
    <row r="161" spans="1:23" s="25" customFormat="1" ht="30" customHeight="1">
      <c r="A161" s="53" t="s">
        <v>562</v>
      </c>
      <c r="B161" s="29">
        <v>80204250585</v>
      </c>
      <c r="C161" s="21" t="s">
        <v>267</v>
      </c>
      <c r="D161" s="21" t="s">
        <v>563</v>
      </c>
      <c r="E161" s="21" t="s">
        <v>48</v>
      </c>
      <c r="F161" s="21"/>
      <c r="H161" s="29"/>
      <c r="I161" s="29"/>
      <c r="J161" s="23"/>
      <c r="K161" s="29"/>
      <c r="L161" s="21"/>
      <c r="M161" s="29"/>
      <c r="O161" s="29"/>
      <c r="P161" s="29"/>
      <c r="Q161" s="24" t="s">
        <v>177</v>
      </c>
      <c r="R161" s="29"/>
      <c r="S161" s="29" t="s">
        <v>476</v>
      </c>
      <c r="T161" s="26">
        <v>4500</v>
      </c>
      <c r="U161" s="100">
        <v>43614</v>
      </c>
      <c r="V161" s="100">
        <v>43645</v>
      </c>
      <c r="W161" s="28">
        <v>0</v>
      </c>
    </row>
    <row r="162" spans="1:23" s="25" customFormat="1" ht="150" customHeight="1">
      <c r="A162" s="53" t="s">
        <v>564</v>
      </c>
      <c r="B162" s="29">
        <v>80204250585</v>
      </c>
      <c r="C162" s="21" t="s">
        <v>267</v>
      </c>
      <c r="D162" s="21" t="s">
        <v>565</v>
      </c>
      <c r="E162" s="21" t="s">
        <v>48</v>
      </c>
      <c r="F162" s="21"/>
      <c r="H162" s="29"/>
      <c r="I162" s="29"/>
      <c r="J162" s="23"/>
      <c r="K162" s="29"/>
      <c r="L162" s="21"/>
      <c r="M162" s="29"/>
      <c r="O162" s="29"/>
      <c r="P162" s="29"/>
      <c r="Q162" s="24" t="s">
        <v>566</v>
      </c>
      <c r="R162" s="29"/>
      <c r="S162" s="29" t="s">
        <v>567</v>
      </c>
      <c r="T162" s="124" t="s">
        <v>568</v>
      </c>
      <c r="U162" s="100">
        <v>43595</v>
      </c>
      <c r="V162" s="100">
        <v>44316</v>
      </c>
      <c r="W162" s="28">
        <v>0</v>
      </c>
    </row>
    <row r="163" spans="1:23" s="25" customFormat="1" ht="195" customHeight="1">
      <c r="A163" s="53" t="s">
        <v>675</v>
      </c>
      <c r="B163" s="29">
        <v>80204250585</v>
      </c>
      <c r="C163" s="21" t="s">
        <v>267</v>
      </c>
      <c r="D163" s="21" t="s">
        <v>569</v>
      </c>
      <c r="E163" s="21" t="s">
        <v>48</v>
      </c>
      <c r="F163" s="21"/>
      <c r="H163" s="29"/>
      <c r="I163" s="29"/>
      <c r="J163" s="23"/>
      <c r="K163" s="29"/>
      <c r="L163" s="21"/>
      <c r="M163" s="29"/>
      <c r="O163" s="29"/>
      <c r="P163" s="29"/>
      <c r="Q163" s="24" t="s">
        <v>140</v>
      </c>
      <c r="R163" s="29"/>
      <c r="S163" s="29" t="s">
        <v>570</v>
      </c>
      <c r="T163" s="26">
        <v>45100</v>
      </c>
      <c r="U163" s="100">
        <v>43585</v>
      </c>
      <c r="V163" s="100">
        <v>44316</v>
      </c>
      <c r="W163" s="28">
        <v>0</v>
      </c>
    </row>
    <row r="164" spans="1:23" s="25" customFormat="1" ht="60" customHeight="1">
      <c r="A164" s="25" t="s">
        <v>498</v>
      </c>
      <c r="B164" s="29">
        <v>80204250585</v>
      </c>
      <c r="C164" s="21" t="s">
        <v>267</v>
      </c>
      <c r="D164" s="22" t="s">
        <v>571</v>
      </c>
      <c r="E164" s="21" t="s">
        <v>48</v>
      </c>
      <c r="F164" s="22"/>
      <c r="J164" s="23"/>
      <c r="L164" s="22"/>
      <c r="Q164" s="24" t="s">
        <v>496</v>
      </c>
      <c r="S164" s="25" t="s">
        <v>497</v>
      </c>
      <c r="T164" s="26">
        <v>3750</v>
      </c>
      <c r="U164" s="100">
        <v>43556</v>
      </c>
      <c r="V164" s="100">
        <v>43830</v>
      </c>
      <c r="W164" s="28">
        <v>0</v>
      </c>
    </row>
    <row r="165" spans="1:23" s="25" customFormat="1" ht="409.5" customHeight="1">
      <c r="A165" s="53" t="s">
        <v>573</v>
      </c>
      <c r="B165" s="29">
        <v>80204250585</v>
      </c>
      <c r="C165" s="21" t="s">
        <v>267</v>
      </c>
      <c r="D165" s="21" t="s">
        <v>572</v>
      </c>
      <c r="E165" s="21" t="s">
        <v>48</v>
      </c>
      <c r="F165" s="34"/>
      <c r="G165" s="53"/>
      <c r="H165" s="53"/>
      <c r="I165" s="53"/>
      <c r="J165" s="23" t="s">
        <v>689</v>
      </c>
      <c r="K165" s="53"/>
      <c r="L165" s="34" t="s">
        <v>690</v>
      </c>
      <c r="M165" s="53"/>
      <c r="N165" s="53"/>
      <c r="O165" s="53"/>
      <c r="P165" s="53"/>
      <c r="Q165" s="24" t="s">
        <v>699</v>
      </c>
      <c r="R165" s="53"/>
      <c r="S165" s="34" t="s">
        <v>691</v>
      </c>
      <c r="T165" s="26">
        <v>24100</v>
      </c>
      <c r="U165" s="100">
        <v>43709</v>
      </c>
      <c r="V165" s="100">
        <v>44316</v>
      </c>
      <c r="W165" s="28">
        <v>0</v>
      </c>
    </row>
    <row r="166" spans="1:23" s="25" customFormat="1" ht="90" customHeight="1">
      <c r="A166" s="53" t="s">
        <v>575</v>
      </c>
      <c r="B166" s="29">
        <v>80204250585</v>
      </c>
      <c r="C166" s="21" t="s">
        <v>83</v>
      </c>
      <c r="D166" s="21" t="s">
        <v>219</v>
      </c>
      <c r="E166" s="21" t="s">
        <v>48</v>
      </c>
      <c r="F166" s="21"/>
      <c r="H166" s="29"/>
      <c r="I166" s="29"/>
      <c r="J166" s="23" t="s">
        <v>220</v>
      </c>
      <c r="K166" s="29"/>
      <c r="L166" s="21" t="s">
        <v>221</v>
      </c>
      <c r="M166" s="29"/>
      <c r="O166" s="29"/>
      <c r="P166" s="29"/>
      <c r="Q166" s="24" t="s">
        <v>220</v>
      </c>
      <c r="R166" s="29"/>
      <c r="S166" s="29" t="s">
        <v>221</v>
      </c>
      <c r="T166" s="26">
        <v>27325.42</v>
      </c>
      <c r="U166" s="100">
        <v>43647</v>
      </c>
      <c r="V166" s="100">
        <v>43769</v>
      </c>
      <c r="W166" s="28">
        <f>614.75+1729.92+614.75+4399.16+2463.6+2293.76+1696.72+786.89</f>
        <v>14599.55</v>
      </c>
    </row>
    <row r="167" spans="1:23" s="25" customFormat="1" ht="300" customHeight="1">
      <c r="A167" s="53" t="s">
        <v>576</v>
      </c>
      <c r="B167" s="29">
        <v>80204250585</v>
      </c>
      <c r="C167" s="21" t="s">
        <v>83</v>
      </c>
      <c r="D167" s="21" t="s">
        <v>577</v>
      </c>
      <c r="E167" s="21" t="s">
        <v>43</v>
      </c>
      <c r="F167" s="21"/>
      <c r="H167" s="29"/>
      <c r="I167" s="29"/>
      <c r="J167" s="23" t="s">
        <v>578</v>
      </c>
      <c r="K167" s="29"/>
      <c r="L167" s="21" t="s">
        <v>579</v>
      </c>
      <c r="M167" s="29"/>
      <c r="O167" s="29"/>
      <c r="P167" s="29"/>
      <c r="Q167" s="24" t="s">
        <v>580</v>
      </c>
      <c r="R167" s="29"/>
      <c r="S167" s="29" t="s">
        <v>581</v>
      </c>
      <c r="T167" s="26">
        <v>120000</v>
      </c>
      <c r="U167" s="100">
        <v>42928</v>
      </c>
      <c r="V167" s="100">
        <v>44024</v>
      </c>
      <c r="W167" s="28">
        <v>43077.51</v>
      </c>
    </row>
    <row r="168" spans="1:23" s="25" customFormat="1" ht="150" customHeight="1">
      <c r="A168" s="25" t="s">
        <v>582</v>
      </c>
      <c r="B168" s="29">
        <v>80204250585</v>
      </c>
      <c r="C168" s="21" t="s">
        <v>83</v>
      </c>
      <c r="D168" s="22" t="s">
        <v>583</v>
      </c>
      <c r="E168" s="21" t="s">
        <v>48</v>
      </c>
      <c r="F168" s="22"/>
      <c r="I168" s="29"/>
      <c r="J168" s="23" t="s">
        <v>584</v>
      </c>
      <c r="L168" s="22" t="s">
        <v>585</v>
      </c>
      <c r="N168" s="29"/>
      <c r="Q168" s="24" t="s">
        <v>186</v>
      </c>
      <c r="R168" s="27"/>
      <c r="S168" s="25" t="s">
        <v>195</v>
      </c>
      <c r="T168" s="26">
        <v>5800</v>
      </c>
      <c r="U168" s="100">
        <v>43034</v>
      </c>
      <c r="V168" s="100">
        <v>44129</v>
      </c>
      <c r="W168" s="28">
        <f>1933.32+966.66+966.66</f>
        <v>3866.64</v>
      </c>
    </row>
    <row r="169" spans="1:23" s="25" customFormat="1" ht="60" customHeight="1">
      <c r="A169" s="25" t="s">
        <v>587</v>
      </c>
      <c r="B169" s="29">
        <v>80204250585</v>
      </c>
      <c r="C169" s="21" t="s">
        <v>267</v>
      </c>
      <c r="D169" s="21" t="s">
        <v>588</v>
      </c>
      <c r="E169" s="21" t="s">
        <v>48</v>
      </c>
      <c r="F169" s="33"/>
      <c r="G169" s="33"/>
      <c r="H169" s="33"/>
      <c r="I169" s="33"/>
      <c r="J169" s="61"/>
      <c r="K169" s="33"/>
      <c r="L169" s="33"/>
      <c r="M169" s="33"/>
      <c r="N169" s="33"/>
      <c r="O169" s="33"/>
      <c r="P169" s="33"/>
      <c r="Q169" s="61" t="s">
        <v>560</v>
      </c>
      <c r="R169" s="33"/>
      <c r="S169" s="33" t="s">
        <v>561</v>
      </c>
      <c r="T169" s="38">
        <v>2470</v>
      </c>
      <c r="U169" s="100">
        <v>43655</v>
      </c>
      <c r="V169" s="100">
        <v>43655</v>
      </c>
      <c r="W169" s="38">
        <v>0</v>
      </c>
    </row>
    <row r="170" spans="1:23" s="25" customFormat="1" ht="75" customHeight="1">
      <c r="A170" s="25" t="s">
        <v>589</v>
      </c>
      <c r="B170" s="29">
        <v>80204250585</v>
      </c>
      <c r="C170" s="21" t="s">
        <v>267</v>
      </c>
      <c r="D170" s="21" t="s">
        <v>590</v>
      </c>
      <c r="E170" s="21" t="s">
        <v>48</v>
      </c>
      <c r="F170" s="33"/>
      <c r="G170" s="33"/>
      <c r="H170" s="33"/>
      <c r="I170" s="33"/>
      <c r="J170" s="61"/>
      <c r="K170" s="33"/>
      <c r="L170" s="33"/>
      <c r="M170" s="33"/>
      <c r="N170" s="33"/>
      <c r="O170" s="33"/>
      <c r="P170" s="33"/>
      <c r="Q170" s="61" t="s">
        <v>560</v>
      </c>
      <c r="R170" s="33"/>
      <c r="S170" s="33" t="s">
        <v>561</v>
      </c>
      <c r="T170" s="38">
        <v>3700</v>
      </c>
      <c r="U170" s="100">
        <v>43655</v>
      </c>
      <c r="V170" s="100">
        <v>43655</v>
      </c>
      <c r="W170" s="38">
        <v>0</v>
      </c>
    </row>
    <row r="171" spans="1:23" s="25" customFormat="1" ht="90" customHeight="1">
      <c r="A171" s="25" t="s">
        <v>591</v>
      </c>
      <c r="B171" s="29">
        <v>80204250585</v>
      </c>
      <c r="C171" s="21" t="s">
        <v>267</v>
      </c>
      <c r="D171" s="21" t="s">
        <v>592</v>
      </c>
      <c r="E171" s="22" t="s">
        <v>38</v>
      </c>
      <c r="F171" s="33"/>
      <c r="G171" s="33"/>
      <c r="H171" s="33"/>
      <c r="I171" s="33"/>
      <c r="J171" s="61"/>
      <c r="K171" s="33"/>
      <c r="L171" s="33"/>
      <c r="M171" s="33"/>
      <c r="N171" s="33"/>
      <c r="O171" s="33"/>
      <c r="P171" s="33"/>
      <c r="Q171" s="61"/>
      <c r="R171" s="33"/>
      <c r="S171" s="33" t="s">
        <v>593</v>
      </c>
      <c r="T171" s="38">
        <v>3800</v>
      </c>
      <c r="U171" s="100">
        <v>43732</v>
      </c>
      <c r="V171" s="100">
        <v>44098</v>
      </c>
      <c r="W171" s="38">
        <v>0</v>
      </c>
    </row>
    <row r="172" spans="1:23" s="25" customFormat="1" ht="60" customHeight="1">
      <c r="A172" s="25" t="s">
        <v>594</v>
      </c>
      <c r="B172" s="29">
        <v>80204250585</v>
      </c>
      <c r="C172" s="21" t="s">
        <v>267</v>
      </c>
      <c r="D172" s="21" t="s">
        <v>595</v>
      </c>
      <c r="E172" s="21" t="s">
        <v>48</v>
      </c>
      <c r="F172" s="33"/>
      <c r="G172" s="33"/>
      <c r="H172" s="33"/>
      <c r="I172" s="33"/>
      <c r="J172" s="61"/>
      <c r="K172" s="33"/>
      <c r="L172" s="33"/>
      <c r="M172" s="33"/>
      <c r="N172" s="33"/>
      <c r="O172" s="33"/>
      <c r="P172" s="33"/>
      <c r="Q172" s="61" t="s">
        <v>596</v>
      </c>
      <c r="R172" s="33"/>
      <c r="S172" s="33" t="s">
        <v>597</v>
      </c>
      <c r="T172" s="38">
        <v>2400</v>
      </c>
      <c r="U172" s="100">
        <v>43732</v>
      </c>
      <c r="V172" s="100">
        <v>44098</v>
      </c>
      <c r="W172" s="38">
        <v>1820</v>
      </c>
    </row>
    <row r="173" spans="1:23" s="25" customFormat="1" ht="75" customHeight="1">
      <c r="A173" s="25" t="s">
        <v>598</v>
      </c>
      <c r="B173" s="29">
        <v>80204250585</v>
      </c>
      <c r="C173" s="21" t="s">
        <v>267</v>
      </c>
      <c r="D173" s="22" t="s">
        <v>1592</v>
      </c>
      <c r="E173" s="21" t="s">
        <v>51</v>
      </c>
      <c r="F173" s="33"/>
      <c r="G173" s="33"/>
      <c r="H173" s="33"/>
      <c r="I173" s="33"/>
      <c r="J173" s="61"/>
      <c r="K173" s="33"/>
      <c r="L173" s="33"/>
      <c r="M173" s="33"/>
      <c r="N173" s="33"/>
      <c r="O173" s="33"/>
      <c r="P173" s="33"/>
      <c r="Q173" s="24" t="s">
        <v>186</v>
      </c>
      <c r="R173" s="33"/>
      <c r="S173" s="25" t="s">
        <v>195</v>
      </c>
      <c r="T173" s="38">
        <v>18009</v>
      </c>
      <c r="U173" s="100">
        <v>43788</v>
      </c>
      <c r="V173" s="100">
        <v>45614</v>
      </c>
      <c r="W173" s="38">
        <v>18009</v>
      </c>
    </row>
    <row r="174" spans="1:23" s="25" customFormat="1" ht="75" customHeight="1">
      <c r="A174" s="25" t="s">
        <v>599</v>
      </c>
      <c r="B174" s="29">
        <v>80204250585</v>
      </c>
      <c r="C174" s="21" t="s">
        <v>267</v>
      </c>
      <c r="D174" s="22" t="s">
        <v>1591</v>
      </c>
      <c r="E174" s="21" t="s">
        <v>51</v>
      </c>
      <c r="F174" s="22"/>
      <c r="J174" s="23"/>
      <c r="L174" s="22"/>
      <c r="Q174" s="24" t="s">
        <v>186</v>
      </c>
      <c r="S174" s="25" t="s">
        <v>195</v>
      </c>
      <c r="T174" s="38">
        <v>154060</v>
      </c>
      <c r="U174" s="100">
        <v>43805</v>
      </c>
      <c r="V174" s="100">
        <v>45631</v>
      </c>
      <c r="W174" s="38">
        <v>154060</v>
      </c>
    </row>
    <row r="175" spans="1:23" s="25" customFormat="1" ht="90" customHeight="1">
      <c r="A175" s="30" t="s">
        <v>904</v>
      </c>
      <c r="B175" s="29">
        <v>80204250585</v>
      </c>
      <c r="C175" s="21" t="s">
        <v>267</v>
      </c>
      <c r="D175" s="22" t="s">
        <v>600</v>
      </c>
      <c r="E175" s="21" t="s">
        <v>51</v>
      </c>
      <c r="F175" s="22"/>
      <c r="J175" s="23"/>
      <c r="L175" s="22"/>
      <c r="Q175" s="61" t="s">
        <v>601</v>
      </c>
      <c r="S175" s="33" t="s">
        <v>602</v>
      </c>
      <c r="T175" s="38">
        <v>732467.05</v>
      </c>
      <c r="U175" s="100">
        <v>43714</v>
      </c>
      <c r="V175" s="100">
        <v>44398</v>
      </c>
      <c r="W175" s="38">
        <f>57700.3+118927.2+43371.7+158682.6+87445.59</f>
        <v>466127.39</v>
      </c>
    </row>
    <row r="176" spans="1:23" s="25" customFormat="1" ht="165" customHeight="1">
      <c r="A176" s="25" t="s">
        <v>603</v>
      </c>
      <c r="B176" s="29" t="s">
        <v>88</v>
      </c>
      <c r="C176" s="21" t="s">
        <v>267</v>
      </c>
      <c r="D176" s="22" t="s">
        <v>667</v>
      </c>
      <c r="E176" s="21" t="s">
        <v>51</v>
      </c>
      <c r="F176" s="22"/>
      <c r="J176" s="23"/>
      <c r="L176" s="22"/>
      <c r="Q176" s="24" t="s">
        <v>701</v>
      </c>
      <c r="S176" s="33" t="s">
        <v>1383</v>
      </c>
      <c r="T176" s="38">
        <v>150000</v>
      </c>
      <c r="U176" s="100">
        <v>43739</v>
      </c>
      <c r="V176" s="100">
        <v>44469</v>
      </c>
      <c r="W176" s="28">
        <f>6877.77+5495.42+3095.88+2897.71+3262.6+3842.19+6849.93+4085.66+2171.64+4320.7+7404.43+5616.47+4020.95+4176.82+6181.56+4130.54+2124.42+3639.36+5934.57+3571.98+3078.94+2298.9</f>
        <v>95078.439999999988</v>
      </c>
    </row>
    <row r="177" spans="1:23" s="25" customFormat="1" ht="75" customHeight="1">
      <c r="A177" s="25" t="s">
        <v>605</v>
      </c>
      <c r="B177" s="29">
        <v>80204250585</v>
      </c>
      <c r="C177" s="21" t="s">
        <v>267</v>
      </c>
      <c r="D177" s="22" t="s">
        <v>606</v>
      </c>
      <c r="E177" s="21" t="s">
        <v>39</v>
      </c>
      <c r="F177" s="22"/>
      <c r="J177" s="23"/>
      <c r="L177" s="22"/>
      <c r="Q177" s="24"/>
      <c r="S177" s="33" t="s">
        <v>426</v>
      </c>
      <c r="T177" s="38">
        <v>39200</v>
      </c>
      <c r="U177" s="100">
        <v>43749</v>
      </c>
      <c r="V177" s="100">
        <v>44196</v>
      </c>
      <c r="W177" s="28">
        <v>0</v>
      </c>
    </row>
    <row r="178" spans="1:23" s="25" customFormat="1" ht="90" customHeight="1">
      <c r="A178" s="25" t="s">
        <v>607</v>
      </c>
      <c r="B178" s="29">
        <v>80204250585</v>
      </c>
      <c r="C178" s="21" t="s">
        <v>267</v>
      </c>
      <c r="D178" s="22" t="s">
        <v>608</v>
      </c>
      <c r="E178" s="21" t="s">
        <v>48</v>
      </c>
      <c r="F178" s="22"/>
      <c r="J178" s="23"/>
      <c r="L178" s="22"/>
      <c r="Q178" s="24">
        <v>5384711007</v>
      </c>
      <c r="S178" s="33" t="s">
        <v>609</v>
      </c>
      <c r="T178" s="38">
        <v>720</v>
      </c>
      <c r="U178" s="100">
        <v>43753</v>
      </c>
      <c r="V178" s="100">
        <v>43799</v>
      </c>
      <c r="W178" s="28">
        <v>0</v>
      </c>
    </row>
    <row r="179" spans="1:23" s="25" customFormat="1" ht="105" customHeight="1">
      <c r="A179" s="25" t="s">
        <v>610</v>
      </c>
      <c r="B179" s="29">
        <v>80204250585</v>
      </c>
      <c r="C179" s="21" t="s">
        <v>267</v>
      </c>
      <c r="D179" s="22" t="s">
        <v>611</v>
      </c>
      <c r="E179" s="21" t="s">
        <v>51</v>
      </c>
      <c r="F179" s="22"/>
      <c r="J179" s="23"/>
      <c r="L179" s="22"/>
      <c r="Q179" s="24" t="s">
        <v>586</v>
      </c>
      <c r="S179" s="29" t="s">
        <v>300</v>
      </c>
      <c r="T179" s="38">
        <v>3499.2</v>
      </c>
      <c r="U179" s="100">
        <v>43803</v>
      </c>
      <c r="V179" s="100">
        <v>44533</v>
      </c>
      <c r="W179" s="28">
        <v>3499.2</v>
      </c>
    </row>
    <row r="180" spans="1:23" s="25" customFormat="1" ht="90" customHeight="1">
      <c r="A180" s="25" t="s">
        <v>612</v>
      </c>
      <c r="B180" s="29">
        <v>80204250585</v>
      </c>
      <c r="C180" s="21" t="s">
        <v>267</v>
      </c>
      <c r="D180" s="22" t="s">
        <v>613</v>
      </c>
      <c r="E180" s="21" t="s">
        <v>51</v>
      </c>
      <c r="F180" s="22"/>
      <c r="J180" s="23"/>
      <c r="L180" s="22"/>
      <c r="Q180" s="24" t="s">
        <v>186</v>
      </c>
      <c r="S180" s="25" t="s">
        <v>195</v>
      </c>
      <c r="T180" s="38">
        <v>392866.84</v>
      </c>
      <c r="U180" s="100">
        <v>43814</v>
      </c>
      <c r="V180" s="100">
        <v>44909</v>
      </c>
      <c r="W180" s="28">
        <v>0</v>
      </c>
    </row>
    <row r="181" spans="1:23" s="25" customFormat="1" ht="150" customHeight="1">
      <c r="A181" s="25" t="s">
        <v>614</v>
      </c>
      <c r="B181" s="29">
        <v>80204250585</v>
      </c>
      <c r="C181" s="21" t="s">
        <v>267</v>
      </c>
      <c r="D181" s="22" t="s">
        <v>615</v>
      </c>
      <c r="E181" s="21" t="s">
        <v>48</v>
      </c>
      <c r="F181" s="22"/>
      <c r="J181" s="23"/>
      <c r="L181" s="22"/>
      <c r="Q181" s="24" t="s">
        <v>172</v>
      </c>
      <c r="S181" s="25" t="s">
        <v>173</v>
      </c>
      <c r="T181" s="38">
        <v>38950</v>
      </c>
      <c r="U181" s="100">
        <v>43791</v>
      </c>
      <c r="V181" s="100">
        <v>44521</v>
      </c>
      <c r="W181" s="28">
        <f>1622.92+(1622.92*3)+(1622.92*3)+(1622.92*3)+(1622.92*3)+(1622.92*3)+(1622.92*3)</f>
        <v>30835.480000000003</v>
      </c>
    </row>
    <row r="182" spans="1:23" s="25" customFormat="1" ht="60" customHeight="1">
      <c r="A182" s="25" t="s">
        <v>616</v>
      </c>
      <c r="B182" s="29">
        <v>80204250585</v>
      </c>
      <c r="C182" s="21" t="s">
        <v>267</v>
      </c>
      <c r="D182" s="22" t="s">
        <v>617</v>
      </c>
      <c r="E182" s="21" t="s">
        <v>39</v>
      </c>
      <c r="F182" s="22"/>
      <c r="J182" s="23"/>
      <c r="L182" s="22"/>
      <c r="Q182" s="24" t="s">
        <v>700</v>
      </c>
      <c r="S182" s="33" t="s">
        <v>269</v>
      </c>
      <c r="T182" s="38">
        <v>9342.08</v>
      </c>
      <c r="U182" s="100">
        <v>43831</v>
      </c>
      <c r="V182" s="100">
        <v>44196</v>
      </c>
      <c r="W182" s="28">
        <f>1557.02+778.51*3+778.51*3+778.51*3+778.51</f>
        <v>9342.1200000000008</v>
      </c>
    </row>
    <row r="183" spans="1:23" s="25" customFormat="1" ht="60" customHeight="1">
      <c r="A183" s="25" t="s">
        <v>618</v>
      </c>
      <c r="B183" s="29">
        <v>80204250585</v>
      </c>
      <c r="C183" s="21" t="s">
        <v>267</v>
      </c>
      <c r="D183" s="22" t="s">
        <v>619</v>
      </c>
      <c r="E183" s="21" t="s">
        <v>39</v>
      </c>
      <c r="F183" s="22"/>
      <c r="J183" s="23"/>
      <c r="L183" s="22"/>
      <c r="Q183" s="24">
        <v>10100001006</v>
      </c>
      <c r="S183" s="33" t="s">
        <v>439</v>
      </c>
      <c r="T183" s="38">
        <v>18600</v>
      </c>
      <c r="U183" s="100">
        <v>43831</v>
      </c>
      <c r="V183" s="100">
        <v>44196</v>
      </c>
      <c r="W183" s="28">
        <f>4650+(4650*2)+4650</f>
        <v>18600</v>
      </c>
    </row>
    <row r="184" spans="1:23" s="25" customFormat="1" ht="60" customHeight="1">
      <c r="A184" s="25" t="s">
        <v>907</v>
      </c>
      <c r="B184" s="29">
        <v>80204250585</v>
      </c>
      <c r="C184" s="21" t="s">
        <v>267</v>
      </c>
      <c r="D184" s="22" t="s">
        <v>620</v>
      </c>
      <c r="E184" s="21" t="s">
        <v>39</v>
      </c>
      <c r="F184" s="22"/>
      <c r="J184" s="23"/>
      <c r="L184" s="22"/>
      <c r="Q184" s="24">
        <v>10100001006</v>
      </c>
      <c r="S184" s="33" t="s">
        <v>439</v>
      </c>
      <c r="T184" s="38">
        <v>13400</v>
      </c>
      <c r="U184" s="100">
        <v>43831</v>
      </c>
      <c r="V184" s="100">
        <v>44196</v>
      </c>
      <c r="W184" s="28">
        <f>3350+(3350*2)+3350</f>
        <v>13400</v>
      </c>
    </row>
    <row r="185" spans="1:23" s="25" customFormat="1" ht="75" customHeight="1">
      <c r="A185" s="25" t="s">
        <v>621</v>
      </c>
      <c r="B185" s="29">
        <v>80204250585</v>
      </c>
      <c r="C185" s="21" t="s">
        <v>267</v>
      </c>
      <c r="D185" s="22" t="s">
        <v>622</v>
      </c>
      <c r="E185" s="21" t="s">
        <v>39</v>
      </c>
      <c r="F185" s="22"/>
      <c r="J185" s="23"/>
      <c r="L185" s="22"/>
      <c r="Q185" s="24">
        <v>13211660157</v>
      </c>
      <c r="S185" s="33" t="s">
        <v>436</v>
      </c>
      <c r="T185" s="38">
        <v>12000</v>
      </c>
      <c r="U185" s="100">
        <v>43831</v>
      </c>
      <c r="V185" s="100">
        <v>44196</v>
      </c>
      <c r="W185" s="28">
        <f>(3000*2)+3000</f>
        <v>9000</v>
      </c>
    </row>
    <row r="186" spans="1:23" s="25" customFormat="1" ht="60" customHeight="1">
      <c r="A186" s="25" t="s">
        <v>623</v>
      </c>
      <c r="B186" s="29">
        <v>80204250585</v>
      </c>
      <c r="C186" s="21" t="s">
        <v>267</v>
      </c>
      <c r="D186" s="22" t="s">
        <v>624</v>
      </c>
      <c r="E186" s="21" t="s">
        <v>39</v>
      </c>
      <c r="F186" s="22"/>
      <c r="J186" s="23"/>
      <c r="L186" s="22"/>
      <c r="Q186" s="24">
        <v>10556200961</v>
      </c>
      <c r="S186" s="33" t="s">
        <v>438</v>
      </c>
      <c r="T186" s="38">
        <v>39000</v>
      </c>
      <c r="U186" s="100">
        <v>43831</v>
      </c>
      <c r="V186" s="100">
        <v>44196</v>
      </c>
      <c r="W186" s="28">
        <f>9750*2+9750+9750</f>
        <v>39000</v>
      </c>
    </row>
    <row r="187" spans="1:23" s="25" customFormat="1" ht="60" customHeight="1">
      <c r="A187" s="25" t="s">
        <v>625</v>
      </c>
      <c r="B187" s="29">
        <v>80204250585</v>
      </c>
      <c r="C187" s="21" t="s">
        <v>267</v>
      </c>
      <c r="D187" s="22" t="s">
        <v>626</v>
      </c>
      <c r="E187" s="21" t="s">
        <v>39</v>
      </c>
      <c r="F187" s="22"/>
      <c r="J187" s="23"/>
      <c r="L187" s="22"/>
      <c r="Q187" s="24">
        <v>10556200961</v>
      </c>
      <c r="S187" s="33" t="s">
        <v>438</v>
      </c>
      <c r="T187" s="38">
        <v>10600</v>
      </c>
      <c r="U187" s="100">
        <v>43831</v>
      </c>
      <c r="V187" s="100">
        <v>44196</v>
      </c>
      <c r="W187" s="28">
        <f>2650*2+2650+2650</f>
        <v>10600</v>
      </c>
    </row>
    <row r="188" spans="1:23" s="25" customFormat="1" ht="60" customHeight="1">
      <c r="A188" s="25" t="s">
        <v>627</v>
      </c>
      <c r="B188" s="29">
        <v>80204250585</v>
      </c>
      <c r="C188" s="21" t="s">
        <v>267</v>
      </c>
      <c r="D188" s="22" t="s">
        <v>628</v>
      </c>
      <c r="E188" s="21" t="s">
        <v>39</v>
      </c>
      <c r="F188" s="22"/>
      <c r="J188" s="23"/>
      <c r="L188" s="22"/>
      <c r="Q188" s="24" t="s">
        <v>247</v>
      </c>
      <c r="S188" s="33" t="s">
        <v>442</v>
      </c>
      <c r="T188" s="38">
        <v>15757.3</v>
      </c>
      <c r="U188" s="100">
        <v>43831</v>
      </c>
      <c r="V188" s="100">
        <v>44196</v>
      </c>
      <c r="W188" s="28">
        <f>7839.26+7918.04</f>
        <v>15757.3</v>
      </c>
    </row>
    <row r="189" spans="1:23" s="25" customFormat="1" ht="60" customHeight="1">
      <c r="A189" s="25" t="s">
        <v>629</v>
      </c>
      <c r="B189" s="29">
        <v>80204250585</v>
      </c>
      <c r="C189" s="21" t="s">
        <v>267</v>
      </c>
      <c r="D189" s="22" t="s">
        <v>630</v>
      </c>
      <c r="E189" s="21" t="s">
        <v>39</v>
      </c>
      <c r="F189" s="22"/>
      <c r="J189" s="23"/>
      <c r="L189" s="22"/>
      <c r="Q189" s="24">
        <v>391130580</v>
      </c>
      <c r="S189" s="33" t="s">
        <v>443</v>
      </c>
      <c r="T189" s="38">
        <v>36629.43</v>
      </c>
      <c r="U189" s="100">
        <v>43831</v>
      </c>
      <c r="V189" s="100">
        <v>44196</v>
      </c>
      <c r="W189" s="28">
        <f>(379.5*2)+(17935.22*2)</f>
        <v>36629.440000000002</v>
      </c>
    </row>
    <row r="190" spans="1:23" s="25" customFormat="1" ht="75" customHeight="1">
      <c r="A190" s="25" t="s">
        <v>631</v>
      </c>
      <c r="B190" s="29">
        <v>80204250585</v>
      </c>
      <c r="C190" s="21" t="s">
        <v>267</v>
      </c>
      <c r="D190" s="22" t="s">
        <v>632</v>
      </c>
      <c r="E190" s="21" t="s">
        <v>39</v>
      </c>
      <c r="F190" s="22"/>
      <c r="J190" s="23"/>
      <c r="L190" s="22"/>
      <c r="Q190" s="24" t="s">
        <v>250</v>
      </c>
      <c r="S190" s="29" t="s">
        <v>251</v>
      </c>
      <c r="T190" s="38">
        <v>30000</v>
      </c>
      <c r="U190" s="100">
        <v>43831</v>
      </c>
      <c r="V190" s="100">
        <v>44196</v>
      </c>
      <c r="W190" s="28">
        <f>15000*2</f>
        <v>30000</v>
      </c>
    </row>
    <row r="191" spans="1:23" s="25" customFormat="1" ht="60" customHeight="1">
      <c r="A191" s="25" t="s">
        <v>633</v>
      </c>
      <c r="B191" s="29">
        <v>80204250585</v>
      </c>
      <c r="C191" s="21" t="s">
        <v>267</v>
      </c>
      <c r="D191" s="22" t="s">
        <v>634</v>
      </c>
      <c r="E191" s="21" t="s">
        <v>39</v>
      </c>
      <c r="F191" s="22"/>
      <c r="J191" s="23"/>
      <c r="L191" s="22"/>
      <c r="Q191" s="24">
        <v>10295850969</v>
      </c>
      <c r="S191" s="33" t="s">
        <v>429</v>
      </c>
      <c r="T191" s="38">
        <v>16420.5</v>
      </c>
      <c r="U191" s="100">
        <v>43831</v>
      </c>
      <c r="V191" s="100">
        <v>44196</v>
      </c>
      <c r="W191" s="28">
        <f>4105.11+4105.11+4105.11</f>
        <v>12315.329999999998</v>
      </c>
    </row>
    <row r="192" spans="1:23" s="25" customFormat="1" ht="60" customHeight="1">
      <c r="A192" s="25" t="s">
        <v>635</v>
      </c>
      <c r="B192" s="29">
        <v>80204250585</v>
      </c>
      <c r="C192" s="21" t="s">
        <v>267</v>
      </c>
      <c r="D192" s="22" t="s">
        <v>636</v>
      </c>
      <c r="E192" s="21" t="s">
        <v>39</v>
      </c>
      <c r="F192" s="22"/>
      <c r="J192" s="23"/>
      <c r="L192" s="22"/>
      <c r="Q192" s="24">
        <v>10295850969</v>
      </c>
      <c r="S192" s="33" t="s">
        <v>429</v>
      </c>
      <c r="T192" s="38">
        <v>31368</v>
      </c>
      <c r="U192" s="100">
        <v>43831</v>
      </c>
      <c r="V192" s="100">
        <v>44196</v>
      </c>
      <c r="W192" s="28">
        <f>7842+7842+7842</f>
        <v>23526</v>
      </c>
    </row>
    <row r="193" spans="1:23" s="25" customFormat="1" ht="45" customHeight="1">
      <c r="A193" s="30" t="s">
        <v>668</v>
      </c>
      <c r="B193" s="29">
        <v>80204250585</v>
      </c>
      <c r="C193" s="21" t="s">
        <v>267</v>
      </c>
      <c r="D193" s="22" t="s">
        <v>637</v>
      </c>
      <c r="E193" s="21" t="s">
        <v>39</v>
      </c>
      <c r="F193" s="22"/>
      <c r="J193" s="23"/>
      <c r="L193" s="22"/>
      <c r="Q193" s="24" t="s">
        <v>248</v>
      </c>
      <c r="S193" s="25" t="s">
        <v>249</v>
      </c>
      <c r="T193" s="38">
        <v>65000</v>
      </c>
      <c r="U193" s="100">
        <v>43831</v>
      </c>
      <c r="V193" s="100">
        <v>44196</v>
      </c>
      <c r="W193" s="28">
        <f>16168.75+16168.75+16168.75</f>
        <v>48506.25</v>
      </c>
    </row>
    <row r="194" spans="1:23" s="25" customFormat="1" ht="60" customHeight="1">
      <c r="A194" s="30" t="s">
        <v>638</v>
      </c>
      <c r="B194" s="29">
        <v>80204250585</v>
      </c>
      <c r="C194" s="21" t="s">
        <v>267</v>
      </c>
      <c r="D194" s="22" t="s">
        <v>639</v>
      </c>
      <c r="E194" s="21" t="s">
        <v>39</v>
      </c>
      <c r="F194" s="22"/>
      <c r="J194" s="23"/>
      <c r="L194" s="22"/>
      <c r="Q194" s="24" t="s">
        <v>255</v>
      </c>
      <c r="S194" s="33" t="s">
        <v>640</v>
      </c>
      <c r="T194" s="38">
        <v>18000</v>
      </c>
      <c r="U194" s="100">
        <v>43831</v>
      </c>
      <c r="V194" s="100">
        <v>44196</v>
      </c>
      <c r="W194" s="28">
        <f>2500+351.2+240.1+7500</f>
        <v>10591.3</v>
      </c>
    </row>
    <row r="195" spans="1:23" s="25" customFormat="1" ht="60" customHeight="1">
      <c r="A195" s="30" t="s">
        <v>641</v>
      </c>
      <c r="B195" s="29">
        <v>80204250585</v>
      </c>
      <c r="C195" s="21" t="s">
        <v>267</v>
      </c>
      <c r="D195" s="22" t="s">
        <v>642</v>
      </c>
      <c r="E195" s="21" t="s">
        <v>51</v>
      </c>
      <c r="F195" s="22"/>
      <c r="J195" s="23"/>
      <c r="L195" s="22"/>
      <c r="Q195" s="24" t="s">
        <v>473</v>
      </c>
      <c r="S195" s="29" t="s">
        <v>307</v>
      </c>
      <c r="T195" s="38">
        <v>31811.25</v>
      </c>
      <c r="U195" s="100">
        <v>43831</v>
      </c>
      <c r="V195" s="100">
        <v>44196</v>
      </c>
      <c r="W195" s="28">
        <f>7952.81*3+7952.81</f>
        <v>31811.24</v>
      </c>
    </row>
    <row r="196" spans="1:23" s="25" customFormat="1" ht="120" customHeight="1">
      <c r="A196" s="30">
        <v>8054639260</v>
      </c>
      <c r="B196" s="29">
        <v>80204250585</v>
      </c>
      <c r="C196" s="21" t="s">
        <v>267</v>
      </c>
      <c r="D196" s="22" t="s">
        <v>643</v>
      </c>
      <c r="E196" s="21" t="s">
        <v>58</v>
      </c>
      <c r="F196" s="22"/>
      <c r="J196" s="23">
        <v>967720285</v>
      </c>
      <c r="L196" s="22" t="s">
        <v>644</v>
      </c>
      <c r="Q196" s="24" t="s">
        <v>702</v>
      </c>
      <c r="S196" s="33" t="s">
        <v>644</v>
      </c>
      <c r="T196" s="38">
        <v>159500</v>
      </c>
      <c r="U196" s="100">
        <v>43831</v>
      </c>
      <c r="V196" s="100">
        <v>44561</v>
      </c>
      <c r="W196" s="28">
        <f>79750+79750</f>
        <v>159500</v>
      </c>
    </row>
    <row r="197" spans="1:23" s="25" customFormat="1" ht="60" customHeight="1">
      <c r="A197" s="30" t="s">
        <v>645</v>
      </c>
      <c r="B197" s="29">
        <v>80204250585</v>
      </c>
      <c r="C197" s="21" t="s">
        <v>267</v>
      </c>
      <c r="D197" s="22" t="s">
        <v>646</v>
      </c>
      <c r="E197" s="21" t="s">
        <v>58</v>
      </c>
      <c r="F197" s="22"/>
      <c r="J197" s="23" t="s">
        <v>647</v>
      </c>
      <c r="L197" s="22" t="s">
        <v>648</v>
      </c>
      <c r="Q197" s="24">
        <v>11673301005</v>
      </c>
      <c r="S197" s="33" t="s">
        <v>183</v>
      </c>
      <c r="T197" s="38">
        <v>154480</v>
      </c>
      <c r="U197" s="100">
        <v>43831</v>
      </c>
      <c r="V197" s="100">
        <v>44196</v>
      </c>
      <c r="W197" s="28">
        <f>38620+38620+38620+38620</f>
        <v>154480</v>
      </c>
    </row>
    <row r="198" spans="1:23" s="25" customFormat="1" ht="90" customHeight="1">
      <c r="A198" s="30" t="s">
        <v>649</v>
      </c>
      <c r="B198" s="29">
        <v>80204250585</v>
      </c>
      <c r="C198" s="21" t="s">
        <v>267</v>
      </c>
      <c r="D198" s="22" t="s">
        <v>650</v>
      </c>
      <c r="E198" s="21" t="s">
        <v>48</v>
      </c>
      <c r="F198" s="22"/>
      <c r="J198" s="23"/>
      <c r="L198" s="22"/>
      <c r="Q198" s="24" t="s">
        <v>277</v>
      </c>
      <c r="S198" s="33" t="s">
        <v>278</v>
      </c>
      <c r="T198" s="38">
        <v>94000</v>
      </c>
      <c r="U198" s="100">
        <v>43831</v>
      </c>
      <c r="V198" s="100">
        <v>44196</v>
      </c>
      <c r="W198" s="28">
        <f>23500+23500+23500+23500</f>
        <v>94000</v>
      </c>
    </row>
    <row r="199" spans="1:23" s="25" customFormat="1" ht="75" customHeight="1">
      <c r="A199" s="64" t="s">
        <v>1314</v>
      </c>
      <c r="B199" s="29">
        <v>80204250585</v>
      </c>
      <c r="C199" s="21" t="s">
        <v>267</v>
      </c>
      <c r="D199" s="65" t="s">
        <v>1315</v>
      </c>
      <c r="E199" s="21" t="s">
        <v>39</v>
      </c>
      <c r="F199" s="64"/>
      <c r="G199" s="64"/>
      <c r="H199" s="64"/>
      <c r="I199" s="64"/>
      <c r="J199" s="24"/>
      <c r="K199" s="64"/>
      <c r="L199" s="64"/>
      <c r="M199" s="64"/>
      <c r="N199" s="64"/>
      <c r="O199" s="64"/>
      <c r="P199" s="66"/>
      <c r="Q199" s="68" t="s">
        <v>1318</v>
      </c>
      <c r="R199" s="66"/>
      <c r="S199" s="25" t="s">
        <v>760</v>
      </c>
      <c r="T199" s="67">
        <f>287676</f>
        <v>287676</v>
      </c>
      <c r="U199" s="100">
        <v>43831</v>
      </c>
      <c r="V199" s="100">
        <v>44196</v>
      </c>
      <c r="W199" s="41">
        <f>25800+46119+46119+25800+32550.8+42225+40287+35926.19-7142</f>
        <v>287684.99</v>
      </c>
    </row>
    <row r="200" spans="1:23" s="25" customFormat="1" ht="45" customHeight="1">
      <c r="A200" s="29" t="s">
        <v>1316</v>
      </c>
      <c r="B200" s="29">
        <v>80204250585</v>
      </c>
      <c r="C200" s="21" t="s">
        <v>267</v>
      </c>
      <c r="D200" s="65" t="s">
        <v>1317</v>
      </c>
      <c r="E200" s="21" t="s">
        <v>39</v>
      </c>
      <c r="F200" s="29"/>
      <c r="G200" s="29"/>
      <c r="H200" s="29"/>
      <c r="I200" s="29"/>
      <c r="J200" s="24"/>
      <c r="K200" s="29"/>
      <c r="L200" s="29"/>
      <c r="M200" s="29"/>
      <c r="N200" s="29"/>
      <c r="O200" s="29"/>
      <c r="P200" s="29"/>
      <c r="Q200" s="68" t="s">
        <v>1318</v>
      </c>
      <c r="R200" s="66"/>
      <c r="S200" s="25" t="s">
        <v>760</v>
      </c>
      <c r="T200" s="26">
        <v>7142</v>
      </c>
      <c r="U200" s="100">
        <v>44013</v>
      </c>
      <c r="V200" s="100">
        <v>44196</v>
      </c>
      <c r="W200" s="28">
        <v>7142</v>
      </c>
    </row>
    <row r="201" spans="1:23" s="25" customFormat="1" ht="72" customHeight="1">
      <c r="A201" s="30" t="s">
        <v>651</v>
      </c>
      <c r="B201" s="29">
        <v>80204250585</v>
      </c>
      <c r="C201" s="21" t="s">
        <v>267</v>
      </c>
      <c r="D201" s="22" t="s">
        <v>652</v>
      </c>
      <c r="E201" s="21" t="s">
        <v>48</v>
      </c>
      <c r="F201" s="22"/>
      <c r="J201" s="23"/>
      <c r="L201" s="22"/>
      <c r="Q201" s="24"/>
      <c r="S201" s="33" t="s">
        <v>653</v>
      </c>
      <c r="T201" s="38">
        <v>10000</v>
      </c>
      <c r="U201" s="100">
        <v>43831</v>
      </c>
      <c r="V201" s="100">
        <v>44196</v>
      </c>
      <c r="W201" s="28">
        <v>10000</v>
      </c>
    </row>
    <row r="202" spans="1:23" s="25" customFormat="1" ht="75" customHeight="1">
      <c r="A202" s="30" t="s">
        <v>654</v>
      </c>
      <c r="B202" s="29">
        <v>80204250585</v>
      </c>
      <c r="C202" s="21" t="s">
        <v>267</v>
      </c>
      <c r="D202" s="22" t="s">
        <v>655</v>
      </c>
      <c r="E202" s="21" t="s">
        <v>48</v>
      </c>
      <c r="F202" s="22"/>
      <c r="J202" s="23" t="s">
        <v>703</v>
      </c>
      <c r="L202" s="22" t="s">
        <v>656</v>
      </c>
      <c r="Q202" s="24" t="s">
        <v>190</v>
      </c>
      <c r="S202" s="25" t="s">
        <v>191</v>
      </c>
      <c r="T202" s="38">
        <v>88110</v>
      </c>
      <c r="U202" s="100">
        <v>43831</v>
      </c>
      <c r="V202" s="100">
        <v>44561</v>
      </c>
      <c r="W202" s="28">
        <f>11013.75+11013.75+11013.75+11013.75+11013.75+11013.75+11013.75</f>
        <v>77096.25</v>
      </c>
    </row>
    <row r="203" spans="1:23" s="25" customFormat="1" ht="45" customHeight="1">
      <c r="A203" s="30" t="s">
        <v>657</v>
      </c>
      <c r="B203" s="29">
        <v>80204250585</v>
      </c>
      <c r="C203" s="21" t="s">
        <v>267</v>
      </c>
      <c r="D203" s="22" t="s">
        <v>658</v>
      </c>
      <c r="E203" s="21" t="s">
        <v>48</v>
      </c>
      <c r="F203" s="22"/>
      <c r="J203" s="23"/>
      <c r="L203" s="22"/>
      <c r="Q203" s="24"/>
      <c r="S203" s="33" t="s">
        <v>653</v>
      </c>
      <c r="T203" s="38">
        <v>5000</v>
      </c>
      <c r="U203" s="100">
        <v>43831</v>
      </c>
      <c r="V203" s="100">
        <v>44196</v>
      </c>
      <c r="W203" s="28">
        <v>5000</v>
      </c>
    </row>
    <row r="204" spans="1:23" s="25" customFormat="1" ht="75" customHeight="1">
      <c r="A204" s="30" t="s">
        <v>659</v>
      </c>
      <c r="B204" s="29">
        <v>80204250585</v>
      </c>
      <c r="C204" s="21" t="s">
        <v>267</v>
      </c>
      <c r="D204" s="22" t="s">
        <v>660</v>
      </c>
      <c r="E204" s="21" t="s">
        <v>39</v>
      </c>
      <c r="F204" s="22"/>
      <c r="J204" s="23" t="s">
        <v>152</v>
      </c>
      <c r="L204" s="21" t="s">
        <v>260</v>
      </c>
      <c r="Q204" s="23" t="s">
        <v>152</v>
      </c>
      <c r="S204" s="21" t="s">
        <v>260</v>
      </c>
      <c r="T204" s="38">
        <v>227615.44</v>
      </c>
      <c r="U204" s="100">
        <v>43831</v>
      </c>
      <c r="V204" s="100">
        <v>44196</v>
      </c>
      <c r="W204" s="28">
        <f>56903.88+53264.24+3639.64+56903.82+56903.82</f>
        <v>227615.4</v>
      </c>
    </row>
    <row r="205" spans="1:23" s="25" customFormat="1" ht="60" customHeight="1">
      <c r="A205" s="25" t="s">
        <v>661</v>
      </c>
      <c r="B205" s="29">
        <v>80204250585</v>
      </c>
      <c r="C205" s="21" t="s">
        <v>267</v>
      </c>
      <c r="D205" s="22" t="s">
        <v>662</v>
      </c>
      <c r="E205" s="21" t="s">
        <v>39</v>
      </c>
      <c r="F205" s="22"/>
      <c r="J205" s="23"/>
      <c r="L205" s="22"/>
      <c r="Q205" s="24" t="s">
        <v>888</v>
      </c>
      <c r="S205" s="33" t="s">
        <v>435</v>
      </c>
      <c r="T205" s="38">
        <v>5500</v>
      </c>
      <c r="U205" s="100">
        <v>43831</v>
      </c>
      <c r="V205" s="100">
        <v>44196</v>
      </c>
      <c r="W205" s="28">
        <f>1375+1375+1375+1375</f>
        <v>5500</v>
      </c>
    </row>
    <row r="206" spans="1:23" s="25" customFormat="1" ht="45" customHeight="1">
      <c r="A206" s="25" t="s">
        <v>663</v>
      </c>
      <c r="B206" s="29">
        <v>80204250585</v>
      </c>
      <c r="C206" s="21" t="s">
        <v>267</v>
      </c>
      <c r="D206" s="22" t="s">
        <v>664</v>
      </c>
      <c r="E206" s="21" t="s">
        <v>39</v>
      </c>
      <c r="F206" s="22"/>
      <c r="J206" s="23"/>
      <c r="L206" s="22"/>
      <c r="Q206" s="24"/>
      <c r="S206" s="33" t="s">
        <v>99</v>
      </c>
      <c r="T206" s="38">
        <v>130272.07</v>
      </c>
      <c r="U206" s="100">
        <v>43861</v>
      </c>
      <c r="V206" s="100">
        <v>44612</v>
      </c>
      <c r="W206" s="28">
        <f>26014.57+25981.41+24708.64+24102.44+24827.84+24185.62+24806.67</f>
        <v>174627.19</v>
      </c>
    </row>
    <row r="207" spans="1:23" s="25" customFormat="1" ht="60" customHeight="1">
      <c r="A207" s="25" t="s">
        <v>705</v>
      </c>
      <c r="B207" s="29">
        <v>80204250585</v>
      </c>
      <c r="C207" s="21" t="s">
        <v>267</v>
      </c>
      <c r="D207" s="21" t="s">
        <v>765</v>
      </c>
      <c r="E207" s="21" t="s">
        <v>48</v>
      </c>
      <c r="F207" s="29"/>
      <c r="G207" s="29"/>
      <c r="H207" s="29"/>
      <c r="I207" s="29"/>
      <c r="J207" s="24"/>
      <c r="K207" s="29"/>
      <c r="L207" s="29"/>
      <c r="M207" s="29"/>
      <c r="N207" s="29"/>
      <c r="O207" s="29"/>
      <c r="P207" s="29"/>
      <c r="Q207" s="24" t="s">
        <v>714</v>
      </c>
      <c r="R207" s="29"/>
      <c r="S207" s="21" t="s">
        <v>713</v>
      </c>
      <c r="T207" s="26">
        <v>2650</v>
      </c>
      <c r="U207" s="100"/>
      <c r="V207" s="100"/>
      <c r="W207" s="28">
        <v>0</v>
      </c>
    </row>
    <row r="208" spans="1:23" s="25" customFormat="1" ht="195" customHeight="1">
      <c r="A208" s="29" t="s">
        <v>706</v>
      </c>
      <c r="B208" s="21" t="s">
        <v>88</v>
      </c>
      <c r="C208" s="21" t="s">
        <v>83</v>
      </c>
      <c r="D208" s="21" t="s">
        <v>938</v>
      </c>
      <c r="E208" s="21" t="s">
        <v>51</v>
      </c>
      <c r="F208" s="29"/>
      <c r="G208" s="29"/>
      <c r="H208" s="29"/>
      <c r="I208" s="29"/>
      <c r="J208" s="24" t="s">
        <v>718</v>
      </c>
      <c r="K208" s="29"/>
      <c r="L208" s="22" t="s">
        <v>719</v>
      </c>
      <c r="M208" s="29"/>
      <c r="N208" s="29"/>
      <c r="O208" s="29"/>
      <c r="P208" s="29"/>
      <c r="Q208" s="24" t="s">
        <v>718</v>
      </c>
      <c r="R208" s="29"/>
      <c r="S208" s="29" t="s">
        <v>719</v>
      </c>
      <c r="T208" s="39">
        <v>11148.96</v>
      </c>
      <c r="U208" s="100">
        <v>43961</v>
      </c>
      <c r="V208" s="100">
        <v>45421</v>
      </c>
      <c r="W208" s="28">
        <f>233.29+233.29+681.82+232.27+(9.89*3)+9.25+(233.28*2)+(233.28*4)+(233.28*3)</f>
        <v>3519.11</v>
      </c>
    </row>
    <row r="209" spans="1:23" s="25" customFormat="1" ht="90" customHeight="1">
      <c r="A209" s="25" t="s">
        <v>707</v>
      </c>
      <c r="B209" s="29">
        <v>80204250585</v>
      </c>
      <c r="C209" s="21" t="s">
        <v>267</v>
      </c>
      <c r="D209" s="21" t="s">
        <v>710</v>
      </c>
      <c r="E209" s="21" t="s">
        <v>48</v>
      </c>
      <c r="F209" s="29"/>
      <c r="G209" s="29"/>
      <c r="H209" s="29"/>
      <c r="I209" s="29"/>
      <c r="J209" s="24"/>
      <c r="K209" s="29"/>
      <c r="L209" s="29"/>
      <c r="M209" s="29"/>
      <c r="N209" s="29"/>
      <c r="O209" s="29"/>
      <c r="P209" s="29"/>
      <c r="Q209" s="37" t="s">
        <v>716</v>
      </c>
      <c r="R209" s="29"/>
      <c r="S209" s="29" t="s">
        <v>715</v>
      </c>
      <c r="T209" s="26">
        <v>2880</v>
      </c>
      <c r="U209" s="100">
        <v>43891</v>
      </c>
      <c r="V209" s="100">
        <v>44985</v>
      </c>
      <c r="W209" s="28">
        <f>410.37+240+240+249.36</f>
        <v>1139.73</v>
      </c>
    </row>
    <row r="210" spans="1:23" s="25" customFormat="1" ht="75" customHeight="1">
      <c r="A210" s="69" t="s">
        <v>723</v>
      </c>
      <c r="B210" s="29">
        <v>80204250585</v>
      </c>
      <c r="C210" s="21" t="s">
        <v>267</v>
      </c>
      <c r="D210" s="33" t="s">
        <v>720</v>
      </c>
      <c r="E210" s="21" t="s">
        <v>48</v>
      </c>
      <c r="F210" s="29"/>
      <c r="G210" s="29"/>
      <c r="H210" s="29"/>
      <c r="I210" s="29"/>
      <c r="J210" s="24"/>
      <c r="K210" s="29"/>
      <c r="L210" s="29"/>
      <c r="M210" s="29"/>
      <c r="N210" s="29"/>
      <c r="O210" s="29"/>
      <c r="P210" s="29"/>
      <c r="Q210" s="37" t="s">
        <v>722</v>
      </c>
      <c r="R210" s="29"/>
      <c r="S210" s="29" t="s">
        <v>721</v>
      </c>
      <c r="T210" s="26">
        <v>1900</v>
      </c>
      <c r="U210" s="100">
        <v>43889</v>
      </c>
      <c r="V210" s="100">
        <v>43921</v>
      </c>
      <c r="W210" s="28">
        <v>342.62</v>
      </c>
    </row>
    <row r="211" spans="1:23" s="25" customFormat="1" ht="75" customHeight="1">
      <c r="A211" s="29" t="s">
        <v>724</v>
      </c>
      <c r="B211" s="29">
        <v>80204250585</v>
      </c>
      <c r="C211" s="21" t="s">
        <v>267</v>
      </c>
      <c r="D211" s="33" t="s">
        <v>725</v>
      </c>
      <c r="E211" s="21" t="s">
        <v>58</v>
      </c>
      <c r="F211" s="29"/>
      <c r="G211" s="29"/>
      <c r="H211" s="29"/>
      <c r="I211" s="29"/>
      <c r="J211" s="21" t="s">
        <v>1483</v>
      </c>
      <c r="K211" s="29"/>
      <c r="L211" s="21" t="s">
        <v>1482</v>
      </c>
      <c r="M211" s="29"/>
      <c r="N211" s="29"/>
      <c r="O211" s="29"/>
      <c r="P211" s="29"/>
      <c r="Q211" s="24" t="s">
        <v>903</v>
      </c>
      <c r="R211" s="29"/>
      <c r="S211" s="29" t="s">
        <v>902</v>
      </c>
      <c r="T211" s="26">
        <v>59864</v>
      </c>
      <c r="U211" s="100">
        <v>43952</v>
      </c>
      <c r="V211" s="100">
        <v>44316</v>
      </c>
      <c r="W211" s="28">
        <f>29932+14966+14966</f>
        <v>59864</v>
      </c>
    </row>
    <row r="212" spans="1:23" s="25" customFormat="1" ht="60" customHeight="1">
      <c r="A212" s="29" t="s">
        <v>726</v>
      </c>
      <c r="B212" s="29">
        <v>80204250585</v>
      </c>
      <c r="C212" s="21" t="s">
        <v>267</v>
      </c>
      <c r="D212" s="33" t="s">
        <v>729</v>
      </c>
      <c r="E212" s="21" t="s">
        <v>39</v>
      </c>
      <c r="F212" s="29"/>
      <c r="G212" s="29"/>
      <c r="H212" s="29"/>
      <c r="I212" s="29"/>
      <c r="J212" s="24"/>
      <c r="K212" s="29"/>
      <c r="L212" s="29"/>
      <c r="M212" s="29"/>
      <c r="N212" s="29"/>
      <c r="O212" s="29"/>
      <c r="P212" s="29"/>
      <c r="Q212" s="37" t="s">
        <v>772</v>
      </c>
      <c r="R212" s="29"/>
      <c r="S212" s="29" t="s">
        <v>773</v>
      </c>
      <c r="T212" s="26">
        <v>798673.82</v>
      </c>
      <c r="U212" s="100">
        <v>43654</v>
      </c>
      <c r="V212" s="100">
        <v>44019</v>
      </c>
      <c r="W212" s="28">
        <f>256813.52+6130.7+(119210.47*2)+(6130.7*2)+13459.25+692.18+4958.17+(594.88*2)+1026.48+1426.88+4126.17+1495.13+1683.4+3313.4+4581.62</f>
        <v>551579.00000000023</v>
      </c>
    </row>
    <row r="213" spans="1:23" s="25" customFormat="1" ht="75" customHeight="1">
      <c r="A213" s="42">
        <v>8169944312</v>
      </c>
      <c r="B213" s="42">
        <v>80204250585</v>
      </c>
      <c r="C213" s="22" t="s">
        <v>267</v>
      </c>
      <c r="D213" s="22" t="s">
        <v>763</v>
      </c>
      <c r="E213" s="21" t="s">
        <v>51</v>
      </c>
      <c r="F213" s="22"/>
      <c r="G213" s="22"/>
      <c r="H213" s="22"/>
      <c r="I213" s="22"/>
      <c r="J213" s="22"/>
      <c r="K213" s="22"/>
      <c r="L213" s="22"/>
      <c r="M213" s="22"/>
      <c r="N213" s="22"/>
      <c r="O213" s="22"/>
      <c r="P213" s="22"/>
      <c r="Q213" s="22">
        <v>929440592</v>
      </c>
      <c r="R213" s="22"/>
      <c r="S213" s="22" t="s">
        <v>764</v>
      </c>
      <c r="T213" s="39">
        <v>159051</v>
      </c>
      <c r="U213" s="100">
        <v>43862</v>
      </c>
      <c r="V213" s="100">
        <v>43890</v>
      </c>
      <c r="W213" s="41">
        <v>0</v>
      </c>
    </row>
    <row r="214" spans="1:23" s="25" customFormat="1" ht="60" customHeight="1">
      <c r="A214" s="29" t="s">
        <v>727</v>
      </c>
      <c r="B214" s="29">
        <v>80204250585</v>
      </c>
      <c r="C214" s="21" t="s">
        <v>267</v>
      </c>
      <c r="D214" s="33" t="s">
        <v>728</v>
      </c>
      <c r="E214" s="21" t="s">
        <v>51</v>
      </c>
      <c r="F214" s="29"/>
      <c r="G214" s="29"/>
      <c r="H214" s="29"/>
      <c r="I214" s="29"/>
      <c r="J214" s="24"/>
      <c r="K214" s="29"/>
      <c r="L214" s="29"/>
      <c r="M214" s="29"/>
      <c r="N214" s="29"/>
      <c r="O214" s="29"/>
      <c r="P214" s="29"/>
      <c r="Q214" s="24" t="s">
        <v>306</v>
      </c>
      <c r="R214" s="29"/>
      <c r="S214" s="29" t="s">
        <v>307</v>
      </c>
      <c r="T214" s="41">
        <v>253121</v>
      </c>
      <c r="U214" s="100">
        <v>43894</v>
      </c>
      <c r="V214" s="100">
        <v>45719</v>
      </c>
      <c r="W214" s="41">
        <v>0</v>
      </c>
    </row>
    <row r="215" spans="1:23" s="25" customFormat="1" ht="30" customHeight="1">
      <c r="A215" s="25" t="s">
        <v>756</v>
      </c>
      <c r="B215" s="29">
        <v>80204250585</v>
      </c>
      <c r="C215" s="21" t="s">
        <v>267</v>
      </c>
      <c r="D215" s="33" t="s">
        <v>758</v>
      </c>
      <c r="E215" s="21" t="s">
        <v>48</v>
      </c>
      <c r="F215" s="29"/>
      <c r="G215" s="29"/>
      <c r="H215" s="29"/>
      <c r="I215" s="29"/>
      <c r="J215" s="24"/>
      <c r="K215" s="29"/>
      <c r="L215" s="29"/>
      <c r="M215" s="29"/>
      <c r="N215" s="29"/>
      <c r="O215" s="29"/>
      <c r="P215" s="29"/>
      <c r="Q215" s="24" t="s">
        <v>770</v>
      </c>
      <c r="R215" s="29"/>
      <c r="S215" s="22" t="s">
        <v>771</v>
      </c>
      <c r="T215" s="26">
        <v>207.1</v>
      </c>
      <c r="U215" s="100">
        <v>43917</v>
      </c>
      <c r="V215" s="100">
        <v>43917</v>
      </c>
      <c r="W215" s="28">
        <v>0</v>
      </c>
    </row>
    <row r="216" spans="1:23" s="25" customFormat="1" ht="30" customHeight="1">
      <c r="A216" s="25" t="s">
        <v>757</v>
      </c>
      <c r="B216" s="29">
        <v>80204250585</v>
      </c>
      <c r="C216" s="21" t="s">
        <v>267</v>
      </c>
      <c r="D216" s="33" t="s">
        <v>759</v>
      </c>
      <c r="E216" s="21" t="s">
        <v>48</v>
      </c>
      <c r="F216" s="29"/>
      <c r="G216" s="29"/>
      <c r="H216" s="29"/>
      <c r="I216" s="29"/>
      <c r="J216" s="24"/>
      <c r="K216" s="29"/>
      <c r="L216" s="29"/>
      <c r="M216" s="29"/>
      <c r="N216" s="29"/>
      <c r="O216" s="29"/>
      <c r="Q216" s="24" t="s">
        <v>170</v>
      </c>
      <c r="R216" s="29"/>
      <c r="S216" s="29" t="s">
        <v>171</v>
      </c>
      <c r="T216" s="40">
        <v>476.7</v>
      </c>
      <c r="U216" s="100">
        <v>43839</v>
      </c>
      <c r="V216" s="100">
        <v>43839</v>
      </c>
      <c r="W216" s="28">
        <v>0</v>
      </c>
    </row>
    <row r="217" spans="1:23" s="25" customFormat="1" ht="75" customHeight="1">
      <c r="A217" s="25" t="s">
        <v>768</v>
      </c>
      <c r="B217" s="29">
        <v>80204250585</v>
      </c>
      <c r="C217" s="21" t="s">
        <v>267</v>
      </c>
      <c r="D217" s="33" t="s">
        <v>769</v>
      </c>
      <c r="E217" s="21" t="s">
        <v>48</v>
      </c>
      <c r="F217" s="22"/>
      <c r="G217" s="22"/>
      <c r="H217" s="22"/>
      <c r="I217" s="22"/>
      <c r="J217" s="22"/>
      <c r="K217" s="22"/>
      <c r="L217" s="22"/>
      <c r="M217" s="22"/>
      <c r="N217" s="22"/>
      <c r="O217" s="54"/>
      <c r="P217" s="22"/>
      <c r="Q217" s="22"/>
      <c r="R217" s="22"/>
      <c r="S217" s="25" t="s">
        <v>296</v>
      </c>
      <c r="T217" s="40">
        <v>3888.88</v>
      </c>
      <c r="U217" s="100">
        <v>43915</v>
      </c>
      <c r="V217" s="100">
        <v>44675</v>
      </c>
      <c r="W217" s="28">
        <v>0</v>
      </c>
    </row>
    <row r="218" spans="1:23" s="25" customFormat="1" ht="105" customHeight="1">
      <c r="A218" s="22" t="s">
        <v>761</v>
      </c>
      <c r="B218" s="29">
        <v>80204250585</v>
      </c>
      <c r="C218" s="22" t="s">
        <v>267</v>
      </c>
      <c r="D218" s="22" t="s">
        <v>762</v>
      </c>
      <c r="E218" s="21" t="s">
        <v>48</v>
      </c>
      <c r="F218" s="22"/>
      <c r="G218" s="22"/>
      <c r="H218" s="22"/>
      <c r="I218" s="22"/>
      <c r="J218" s="22"/>
      <c r="K218" s="22"/>
      <c r="L218" s="22"/>
      <c r="M218" s="22"/>
      <c r="N218" s="22"/>
      <c r="O218" s="22"/>
      <c r="P218" s="22"/>
      <c r="Q218" s="22">
        <v>4272801004</v>
      </c>
      <c r="R218" s="22"/>
      <c r="S218" s="22" t="s">
        <v>333</v>
      </c>
      <c r="T218" s="39">
        <v>21484</v>
      </c>
      <c r="U218" s="100">
        <v>43848</v>
      </c>
      <c r="V218" s="100">
        <v>44227</v>
      </c>
      <c r="W218" s="39">
        <f>12384+2275+2275+2275+2275</f>
        <v>21484</v>
      </c>
    </row>
    <row r="219" spans="1:23" s="25" customFormat="1" ht="75" customHeight="1">
      <c r="A219" s="25" t="s">
        <v>730</v>
      </c>
      <c r="B219" s="29">
        <v>80204250585</v>
      </c>
      <c r="C219" s="21" t="s">
        <v>83</v>
      </c>
      <c r="D219" s="22" t="s">
        <v>731</v>
      </c>
      <c r="E219" s="21" t="s">
        <v>48</v>
      </c>
      <c r="F219" s="22"/>
      <c r="J219" s="23">
        <v>80213750583</v>
      </c>
      <c r="L219" s="22" t="s">
        <v>732</v>
      </c>
      <c r="Q219" s="23">
        <v>80213750583</v>
      </c>
      <c r="S219" s="42" t="s">
        <v>732</v>
      </c>
      <c r="T219" s="26">
        <v>38500</v>
      </c>
      <c r="U219" s="100">
        <v>43831</v>
      </c>
      <c r="V219" s="100">
        <v>44196</v>
      </c>
      <c r="W219" s="28">
        <v>0</v>
      </c>
    </row>
    <row r="220" spans="1:23" s="25" customFormat="1" ht="90" customHeight="1">
      <c r="A220" s="25" t="s">
        <v>733</v>
      </c>
      <c r="B220" s="21" t="s">
        <v>88</v>
      </c>
      <c r="C220" s="21" t="s">
        <v>83</v>
      </c>
      <c r="D220" s="22" t="s">
        <v>734</v>
      </c>
      <c r="E220" s="21" t="s">
        <v>48</v>
      </c>
      <c r="F220" s="22"/>
      <c r="I220" s="29"/>
      <c r="J220" s="23" t="s">
        <v>735</v>
      </c>
      <c r="L220" s="22" t="s">
        <v>736</v>
      </c>
      <c r="N220" s="29"/>
      <c r="Q220" s="24" t="s">
        <v>735</v>
      </c>
      <c r="R220" s="27"/>
      <c r="S220" s="30" t="s">
        <v>736</v>
      </c>
      <c r="T220" s="26">
        <v>18192</v>
      </c>
      <c r="U220" s="100">
        <v>43831</v>
      </c>
      <c r="V220" s="100">
        <v>44926</v>
      </c>
      <c r="W220" s="28">
        <f>2085+1416+1416+1416+1416+1416+1416</f>
        <v>10581</v>
      </c>
    </row>
    <row r="221" spans="1:23" s="25" customFormat="1" ht="60" customHeight="1">
      <c r="A221" s="29" t="s">
        <v>737</v>
      </c>
      <c r="B221" s="21" t="s">
        <v>88</v>
      </c>
      <c r="C221" s="21" t="s">
        <v>83</v>
      </c>
      <c r="D221" s="22" t="s">
        <v>738</v>
      </c>
      <c r="E221" s="21" t="s">
        <v>39</v>
      </c>
      <c r="F221" s="29"/>
      <c r="G221" s="29"/>
      <c r="H221" s="29"/>
      <c r="I221" s="29"/>
      <c r="J221" s="24" t="s">
        <v>212</v>
      </c>
      <c r="K221" s="29"/>
      <c r="L221" s="29" t="s">
        <v>493</v>
      </c>
      <c r="M221" s="29"/>
      <c r="N221" s="29"/>
      <c r="O221" s="29"/>
      <c r="P221" s="29"/>
      <c r="Q221" s="24" t="s">
        <v>212</v>
      </c>
      <c r="R221" s="29"/>
      <c r="S221" s="29" t="s">
        <v>493</v>
      </c>
      <c r="T221" s="26">
        <v>6768.89</v>
      </c>
      <c r="U221" s="100">
        <v>43876</v>
      </c>
      <c r="V221" s="100">
        <v>44241</v>
      </c>
      <c r="W221" s="28">
        <v>6768.84</v>
      </c>
    </row>
    <row r="222" spans="1:23" s="25" customFormat="1" ht="60" customHeight="1">
      <c r="A222" s="29" t="s">
        <v>739</v>
      </c>
      <c r="B222" s="21" t="s">
        <v>88</v>
      </c>
      <c r="C222" s="21" t="s">
        <v>83</v>
      </c>
      <c r="D222" s="21" t="s">
        <v>740</v>
      </c>
      <c r="E222" s="21" t="s">
        <v>48</v>
      </c>
      <c r="F222" s="29"/>
      <c r="G222" s="29"/>
      <c r="H222" s="29"/>
      <c r="I222" s="29"/>
      <c r="J222" s="24" t="s">
        <v>210</v>
      </c>
      <c r="K222" s="29"/>
      <c r="L222" s="21" t="s">
        <v>488</v>
      </c>
      <c r="M222" s="29"/>
      <c r="N222" s="29"/>
      <c r="O222" s="29"/>
      <c r="P222" s="29"/>
      <c r="Q222" s="24" t="s">
        <v>210</v>
      </c>
      <c r="R222" s="29"/>
      <c r="S222" s="21" t="s">
        <v>488</v>
      </c>
      <c r="T222" s="26">
        <v>21000</v>
      </c>
      <c r="U222" s="100">
        <v>43891</v>
      </c>
      <c r="V222" s="100">
        <v>44255</v>
      </c>
      <c r="W222" s="28">
        <f>194.39+968.89+197.66+238.44+215.78+201.07+251.23+1446.94+957.29+290.7+288.09+284.5</f>
        <v>5534.9800000000005</v>
      </c>
    </row>
    <row r="223" spans="1:23" s="25" customFormat="1" ht="150" customHeight="1">
      <c r="A223" s="29" t="s">
        <v>741</v>
      </c>
      <c r="B223" s="21" t="s">
        <v>88</v>
      </c>
      <c r="C223" s="21" t="s">
        <v>83</v>
      </c>
      <c r="D223" s="21" t="s">
        <v>742</v>
      </c>
      <c r="E223" s="21" t="s">
        <v>51</v>
      </c>
      <c r="F223" s="29"/>
      <c r="G223" s="29"/>
      <c r="H223" s="29"/>
      <c r="I223" s="29"/>
      <c r="J223" s="24" t="s">
        <v>119</v>
      </c>
      <c r="K223" s="29"/>
      <c r="L223" s="29" t="s">
        <v>120</v>
      </c>
      <c r="M223" s="29"/>
      <c r="N223" s="29"/>
      <c r="O223" s="29"/>
      <c r="P223" s="29"/>
      <c r="Q223" s="24" t="s">
        <v>119</v>
      </c>
      <c r="R223" s="29"/>
      <c r="S223" s="29" t="s">
        <v>120</v>
      </c>
      <c r="T223" s="26">
        <v>198660</v>
      </c>
      <c r="U223" s="100">
        <v>43952</v>
      </c>
      <c r="V223" s="100">
        <v>45777</v>
      </c>
      <c r="W223" s="28">
        <f>9270.8+9933+9933+9933+9933</f>
        <v>49002.8</v>
      </c>
    </row>
    <row r="224" spans="1:23" s="25" customFormat="1" ht="60" customHeight="1">
      <c r="A224" s="29" t="s">
        <v>743</v>
      </c>
      <c r="B224" s="21" t="s">
        <v>88</v>
      </c>
      <c r="C224" s="21" t="s">
        <v>83</v>
      </c>
      <c r="D224" s="21" t="s">
        <v>744</v>
      </c>
      <c r="E224" s="21" t="s">
        <v>39</v>
      </c>
      <c r="F224" s="29"/>
      <c r="G224" s="29"/>
      <c r="H224" s="29"/>
      <c r="I224" s="29"/>
      <c r="J224" s="24" t="s">
        <v>206</v>
      </c>
      <c r="K224" s="29"/>
      <c r="L224" s="29" t="s">
        <v>745</v>
      </c>
      <c r="M224" s="29"/>
      <c r="N224" s="29"/>
      <c r="O224" s="29"/>
      <c r="P224" s="29"/>
      <c r="Q224" s="24" t="s">
        <v>206</v>
      </c>
      <c r="R224" s="29"/>
      <c r="S224" s="29" t="s">
        <v>745</v>
      </c>
      <c r="T224" s="26">
        <v>4680</v>
      </c>
      <c r="U224" s="100">
        <v>43937</v>
      </c>
      <c r="V224" s="100">
        <v>44301</v>
      </c>
      <c r="W224" s="28">
        <v>3989.51</v>
      </c>
    </row>
    <row r="225" spans="1:23" s="25" customFormat="1" ht="150" customHeight="1">
      <c r="A225" s="29" t="s">
        <v>746</v>
      </c>
      <c r="B225" s="21" t="s">
        <v>88</v>
      </c>
      <c r="C225" s="21" t="s">
        <v>83</v>
      </c>
      <c r="D225" s="21" t="s">
        <v>939</v>
      </c>
      <c r="E225" s="21" t="s">
        <v>39</v>
      </c>
      <c r="F225" s="29"/>
      <c r="G225" s="29"/>
      <c r="H225" s="29"/>
      <c r="I225" s="29"/>
      <c r="J225" s="23" t="s">
        <v>747</v>
      </c>
      <c r="K225" s="29"/>
      <c r="L225" s="23" t="s">
        <v>748</v>
      </c>
      <c r="M225" s="29"/>
      <c r="N225" s="29"/>
      <c r="O225" s="29"/>
      <c r="P225" s="29"/>
      <c r="Q225" s="23" t="s">
        <v>749</v>
      </c>
      <c r="R225" s="29"/>
      <c r="S225" s="43" t="s">
        <v>750</v>
      </c>
      <c r="T225" s="39">
        <v>32640</v>
      </c>
      <c r="U225" s="100">
        <v>44005</v>
      </c>
      <c r="V225" s="100">
        <v>45465</v>
      </c>
      <c r="W225" s="28">
        <f>618.67+109.69+680+21.34+640+(680*2)+20+20-12.5+680-12.5+(680*3)+7.5+(680*3)</f>
        <v>8212.2000000000007</v>
      </c>
    </row>
    <row r="226" spans="1:23" s="25" customFormat="1" ht="120" customHeight="1">
      <c r="A226" s="25" t="s">
        <v>751</v>
      </c>
      <c r="B226" s="29">
        <v>80204250585</v>
      </c>
      <c r="C226" s="21" t="s">
        <v>83</v>
      </c>
      <c r="D226" s="21" t="s">
        <v>922</v>
      </c>
      <c r="E226" s="21" t="s">
        <v>48</v>
      </c>
      <c r="F226" s="22"/>
      <c r="H226" s="29"/>
      <c r="J226" s="23" t="s">
        <v>220</v>
      </c>
      <c r="K226" s="29"/>
      <c r="L226" s="21" t="s">
        <v>221</v>
      </c>
      <c r="M226" s="29"/>
      <c r="Q226" s="24" t="s">
        <v>220</v>
      </c>
      <c r="S226" s="43" t="s">
        <v>221</v>
      </c>
      <c r="T226" s="26">
        <v>19895</v>
      </c>
      <c r="U226" s="100">
        <v>43952</v>
      </c>
      <c r="V226" s="100">
        <v>44135</v>
      </c>
      <c r="W226" s="28">
        <f>2977.5+2977.5</f>
        <v>5955</v>
      </c>
    </row>
    <row r="227" spans="1:23" s="25" customFormat="1" ht="105" customHeight="1">
      <c r="A227" s="29" t="s">
        <v>752</v>
      </c>
      <c r="B227" s="29">
        <v>80204250585</v>
      </c>
      <c r="C227" s="21" t="s">
        <v>83</v>
      </c>
      <c r="D227" s="21" t="s">
        <v>753</v>
      </c>
      <c r="E227" s="21" t="s">
        <v>48</v>
      </c>
      <c r="F227" s="22"/>
      <c r="H227" s="29"/>
      <c r="J227" s="23" t="s">
        <v>754</v>
      </c>
      <c r="K227" s="29"/>
      <c r="L227" s="21" t="s">
        <v>755</v>
      </c>
      <c r="M227" s="29"/>
      <c r="Q227" s="23" t="s">
        <v>754</v>
      </c>
      <c r="S227" s="32" t="s">
        <v>755</v>
      </c>
      <c r="T227" s="26">
        <v>10404</v>
      </c>
      <c r="U227" s="100">
        <v>43952</v>
      </c>
      <c r="V227" s="100">
        <v>44135</v>
      </c>
      <c r="W227" s="28">
        <f>922.13+922.13</f>
        <v>1844.26</v>
      </c>
    </row>
    <row r="228" spans="1:23" s="25" customFormat="1" ht="180" customHeight="1">
      <c r="A228" s="42" t="s">
        <v>774</v>
      </c>
      <c r="B228" s="42">
        <v>80204250585</v>
      </c>
      <c r="C228" s="42" t="s">
        <v>267</v>
      </c>
      <c r="D228" s="42" t="s">
        <v>1579</v>
      </c>
      <c r="E228" s="21" t="s">
        <v>43</v>
      </c>
      <c r="F228" s="42"/>
      <c r="G228" s="42"/>
      <c r="H228" s="42"/>
      <c r="I228" s="42"/>
      <c r="J228" s="42" t="s">
        <v>1478</v>
      </c>
      <c r="K228" s="42"/>
      <c r="L228" s="42" t="s">
        <v>1479</v>
      </c>
      <c r="M228" s="42"/>
      <c r="N228" s="42"/>
      <c r="O228" s="42"/>
      <c r="P228" s="42"/>
      <c r="Q228" s="36">
        <v>5231661009</v>
      </c>
      <c r="S228" s="42" t="s">
        <v>785</v>
      </c>
      <c r="T228" s="39">
        <v>32130</v>
      </c>
      <c r="U228" s="100">
        <v>43983</v>
      </c>
      <c r="V228" s="100">
        <v>44712</v>
      </c>
      <c r="W228" s="28">
        <f>8032.5+8032.5+8032.5</f>
        <v>24097.5</v>
      </c>
    </row>
    <row r="229" spans="1:23" s="25" customFormat="1" ht="135" customHeight="1">
      <c r="A229" s="42" t="s">
        <v>775</v>
      </c>
      <c r="B229" s="42">
        <v>80204250585</v>
      </c>
      <c r="C229" s="42" t="s">
        <v>267</v>
      </c>
      <c r="D229" s="42" t="s">
        <v>786</v>
      </c>
      <c r="E229" s="21" t="s">
        <v>48</v>
      </c>
      <c r="F229" s="42"/>
      <c r="G229" s="42"/>
      <c r="H229" s="42"/>
      <c r="I229" s="42"/>
      <c r="J229" s="42"/>
      <c r="K229" s="42"/>
      <c r="L229" s="42"/>
      <c r="M229" s="42"/>
      <c r="N229" s="42"/>
      <c r="O229" s="42"/>
      <c r="P229" s="42"/>
      <c r="Q229" s="42">
        <v>399810589</v>
      </c>
      <c r="R229" s="42"/>
      <c r="S229" s="42" t="s">
        <v>405</v>
      </c>
      <c r="T229" s="39">
        <v>1967.19</v>
      </c>
      <c r="U229" s="100">
        <v>43936</v>
      </c>
      <c r="V229" s="100">
        <v>43936</v>
      </c>
      <c r="W229" s="28">
        <v>0</v>
      </c>
    </row>
    <row r="230" spans="1:23" s="25" customFormat="1" ht="135" customHeight="1">
      <c r="A230" s="42" t="s">
        <v>776</v>
      </c>
      <c r="B230" s="42">
        <v>80204250585</v>
      </c>
      <c r="C230" s="42" t="s">
        <v>267</v>
      </c>
      <c r="D230" s="42" t="s">
        <v>787</v>
      </c>
      <c r="E230" s="21" t="s">
        <v>48</v>
      </c>
      <c r="F230" s="42"/>
      <c r="G230" s="42"/>
      <c r="H230" s="42"/>
      <c r="I230" s="42"/>
      <c r="J230" s="42"/>
      <c r="K230" s="42"/>
      <c r="L230" s="42"/>
      <c r="M230" s="42"/>
      <c r="N230" s="42"/>
      <c r="O230" s="42"/>
      <c r="P230" s="42"/>
      <c r="Q230" s="42">
        <v>97103880585</v>
      </c>
      <c r="R230" s="42"/>
      <c r="S230" s="42" t="s">
        <v>788</v>
      </c>
      <c r="T230" s="39">
        <v>19420</v>
      </c>
      <c r="U230" s="100">
        <v>43958</v>
      </c>
      <c r="V230" s="100">
        <v>44322</v>
      </c>
      <c r="W230" s="39">
        <f>8277.4+12.2+62.05+67.82+12.2+76.77+6.1+36.59</f>
        <v>8551.130000000001</v>
      </c>
    </row>
    <row r="231" spans="1:23" s="25" customFormat="1" ht="135" customHeight="1">
      <c r="A231" s="42" t="s">
        <v>777</v>
      </c>
      <c r="B231" s="42">
        <v>80204250585</v>
      </c>
      <c r="C231" s="42" t="s">
        <v>267</v>
      </c>
      <c r="D231" s="42" t="s">
        <v>789</v>
      </c>
      <c r="E231" s="21" t="s">
        <v>51</v>
      </c>
      <c r="F231" s="42"/>
      <c r="G231" s="42"/>
      <c r="H231" s="42"/>
      <c r="I231" s="42"/>
      <c r="J231" s="42">
        <v>1788080156</v>
      </c>
      <c r="K231" s="42"/>
      <c r="L231" s="42" t="s">
        <v>790</v>
      </c>
      <c r="M231" s="42"/>
      <c r="N231" s="42"/>
      <c r="O231" s="42"/>
      <c r="P231" s="42"/>
      <c r="Q231" s="42">
        <v>1788080156</v>
      </c>
      <c r="R231" s="42"/>
      <c r="S231" s="42" t="s">
        <v>304</v>
      </c>
      <c r="T231" s="39">
        <v>14039.4</v>
      </c>
      <c r="U231" s="100">
        <v>43952</v>
      </c>
      <c r="V231" s="100">
        <v>45777</v>
      </c>
      <c r="W231" s="39">
        <f>701.97+701.97+701.97+701.97+701.97</f>
        <v>3509.8500000000004</v>
      </c>
    </row>
    <row r="232" spans="1:23" s="25" customFormat="1" ht="45" customHeight="1">
      <c r="A232" s="42" t="s">
        <v>1301</v>
      </c>
      <c r="B232" s="42">
        <v>80204250585</v>
      </c>
      <c r="C232" s="42" t="s">
        <v>267</v>
      </c>
      <c r="D232" s="42" t="s">
        <v>791</v>
      </c>
      <c r="E232" s="21" t="s">
        <v>39</v>
      </c>
      <c r="F232" s="42"/>
      <c r="G232" s="42"/>
      <c r="H232" s="42"/>
      <c r="I232" s="42"/>
      <c r="J232" s="42"/>
      <c r="K232" s="42"/>
      <c r="L232" s="42"/>
      <c r="M232" s="42"/>
      <c r="N232" s="42"/>
      <c r="O232" s="42"/>
      <c r="P232" s="42"/>
      <c r="Q232" s="42">
        <v>10991370155</v>
      </c>
      <c r="R232" s="42"/>
      <c r="S232" s="42" t="s">
        <v>341</v>
      </c>
      <c r="T232" s="39">
        <v>110000</v>
      </c>
      <c r="U232" s="100">
        <v>43989</v>
      </c>
      <c r="V232" s="100">
        <v>44353</v>
      </c>
      <c r="W232" s="28">
        <f>27500+27500+27500+27500</f>
        <v>110000</v>
      </c>
    </row>
    <row r="233" spans="1:23" s="25" customFormat="1" ht="60" customHeight="1">
      <c r="A233" s="42" t="s">
        <v>778</v>
      </c>
      <c r="B233" s="42">
        <v>80204250585</v>
      </c>
      <c r="C233" s="42" t="s">
        <v>267</v>
      </c>
      <c r="D233" s="42" t="s">
        <v>792</v>
      </c>
      <c r="E233" s="21" t="s">
        <v>48</v>
      </c>
      <c r="F233" s="42"/>
      <c r="G233" s="42"/>
      <c r="H233" s="42"/>
      <c r="I233" s="42"/>
      <c r="J233" s="42"/>
      <c r="K233" s="42"/>
      <c r="L233" s="42"/>
      <c r="M233" s="42"/>
      <c r="N233" s="42"/>
      <c r="O233" s="42"/>
      <c r="P233" s="42"/>
      <c r="Q233" s="42">
        <v>10169951000</v>
      </c>
      <c r="R233" s="42"/>
      <c r="S233" s="42" t="s">
        <v>793</v>
      </c>
      <c r="T233" s="39">
        <v>172155.93</v>
      </c>
      <c r="U233" s="100">
        <v>43922</v>
      </c>
      <c r="V233" s="100">
        <v>44165</v>
      </c>
      <c r="W233" s="39">
        <f>4507.38+20705.68+20909.68+21304.08</f>
        <v>67426.820000000007</v>
      </c>
    </row>
    <row r="234" spans="1:23" s="25" customFormat="1" ht="90" customHeight="1">
      <c r="A234" s="42" t="s">
        <v>780</v>
      </c>
      <c r="B234" s="42">
        <v>80204250585</v>
      </c>
      <c r="C234" s="42" t="s">
        <v>267</v>
      </c>
      <c r="D234" s="42" t="s">
        <v>796</v>
      </c>
      <c r="E234" s="21" t="s">
        <v>48</v>
      </c>
      <c r="F234" s="42"/>
      <c r="G234" s="42"/>
      <c r="H234" s="42"/>
      <c r="I234" s="42"/>
      <c r="J234" s="42"/>
      <c r="K234" s="42"/>
      <c r="L234" s="42"/>
      <c r="M234" s="42"/>
      <c r="N234" s="42"/>
      <c r="O234" s="42"/>
      <c r="P234" s="42"/>
      <c r="Q234" s="42">
        <v>5850080630</v>
      </c>
      <c r="R234" s="42"/>
      <c r="S234" s="42" t="s">
        <v>797</v>
      </c>
      <c r="T234" s="39">
        <v>19785.22</v>
      </c>
      <c r="U234" s="100">
        <v>43978</v>
      </c>
      <c r="V234" s="100">
        <v>44006</v>
      </c>
      <c r="W234" s="39">
        <v>0</v>
      </c>
    </row>
    <row r="235" spans="1:23" s="25" customFormat="1" ht="105" customHeight="1">
      <c r="A235" s="42" t="s">
        <v>781</v>
      </c>
      <c r="B235" s="42">
        <v>80204250585</v>
      </c>
      <c r="C235" s="42" t="s">
        <v>267</v>
      </c>
      <c r="D235" s="42" t="s">
        <v>798</v>
      </c>
      <c r="E235" s="21" t="s">
        <v>51</v>
      </c>
      <c r="F235" s="42"/>
      <c r="G235" s="42"/>
      <c r="H235" s="42"/>
      <c r="I235" s="42"/>
      <c r="J235" s="42"/>
      <c r="K235" s="42"/>
      <c r="L235" s="42"/>
      <c r="M235" s="42"/>
      <c r="N235" s="42"/>
      <c r="O235" s="42"/>
      <c r="P235" s="42"/>
      <c r="Q235" s="42">
        <v>6655971007</v>
      </c>
      <c r="R235" s="42"/>
      <c r="S235" s="42" t="s">
        <v>542</v>
      </c>
      <c r="T235" s="39">
        <v>670000</v>
      </c>
      <c r="U235" s="100">
        <v>43952</v>
      </c>
      <c r="V235" s="100">
        <v>44316</v>
      </c>
      <c r="W235" s="39">
        <f>2598.95+20081.57+3041.65+23265.46+3555.98+38950.3+38712.26+3328.43+3260.8+34691.79+29038.8+2840.16+43765.69+2973.34+49423.4+2848.34+33609.11+3375.56+40601.05+3385.67+3024.77+43635.67+3260.96+42663.78</f>
        <v>475933.49</v>
      </c>
    </row>
    <row r="236" spans="1:23" s="25" customFormat="1" ht="45" customHeight="1">
      <c r="A236" s="42" t="s">
        <v>779</v>
      </c>
      <c r="B236" s="42">
        <v>80204250585</v>
      </c>
      <c r="C236" s="42" t="s">
        <v>267</v>
      </c>
      <c r="D236" s="42" t="s">
        <v>794</v>
      </c>
      <c r="E236" s="21" t="s">
        <v>48</v>
      </c>
      <c r="F236" s="42"/>
      <c r="G236" s="42"/>
      <c r="H236" s="42"/>
      <c r="I236" s="42"/>
      <c r="J236" s="42"/>
      <c r="K236" s="42"/>
      <c r="L236" s="42"/>
      <c r="M236" s="42"/>
      <c r="N236" s="42"/>
      <c r="O236" s="42"/>
      <c r="P236" s="42"/>
      <c r="Q236" s="42"/>
      <c r="R236" s="42"/>
      <c r="S236" s="42" t="s">
        <v>799</v>
      </c>
      <c r="T236" s="39">
        <v>18639</v>
      </c>
      <c r="U236" s="100">
        <v>43990</v>
      </c>
      <c r="V236" s="100">
        <v>44355</v>
      </c>
      <c r="W236" s="39">
        <v>0</v>
      </c>
    </row>
    <row r="237" spans="1:23" s="25" customFormat="1" ht="75" customHeight="1">
      <c r="A237" s="42" t="s">
        <v>782</v>
      </c>
      <c r="B237" s="42">
        <v>80204250585</v>
      </c>
      <c r="C237" s="42" t="s">
        <v>267</v>
      </c>
      <c r="D237" s="42" t="s">
        <v>800</v>
      </c>
      <c r="E237" s="21" t="s">
        <v>48</v>
      </c>
      <c r="F237" s="42"/>
      <c r="G237" s="42"/>
      <c r="H237" s="42"/>
      <c r="I237" s="42"/>
      <c r="J237" s="42"/>
      <c r="K237" s="42"/>
      <c r="L237" s="42"/>
      <c r="M237" s="42"/>
      <c r="N237" s="42"/>
      <c r="O237" s="42"/>
      <c r="P237" s="42"/>
      <c r="Q237" s="42">
        <v>7739700586</v>
      </c>
      <c r="R237" s="42"/>
      <c r="S237" s="42" t="s">
        <v>801</v>
      </c>
      <c r="T237" s="39">
        <v>4150</v>
      </c>
      <c r="U237" s="100">
        <v>43970</v>
      </c>
      <c r="V237" s="100">
        <v>43991</v>
      </c>
      <c r="W237" s="28">
        <v>4150</v>
      </c>
    </row>
    <row r="238" spans="1:23" s="25" customFormat="1" ht="75" customHeight="1">
      <c r="A238" s="42" t="s">
        <v>783</v>
      </c>
      <c r="B238" s="42">
        <v>80204250585</v>
      </c>
      <c r="C238" s="42" t="s">
        <v>267</v>
      </c>
      <c r="D238" s="42" t="s">
        <v>795</v>
      </c>
      <c r="E238" s="21" t="s">
        <v>48</v>
      </c>
      <c r="F238" s="42"/>
      <c r="G238" s="42"/>
      <c r="H238" s="42"/>
      <c r="I238" s="42"/>
      <c r="J238" s="42"/>
      <c r="K238" s="42"/>
      <c r="L238" s="42"/>
      <c r="M238" s="42"/>
      <c r="N238" s="42"/>
      <c r="O238" s="42"/>
      <c r="P238" s="42"/>
      <c r="Q238" s="42"/>
      <c r="R238" s="42"/>
      <c r="S238" s="42" t="s">
        <v>802</v>
      </c>
      <c r="T238" s="39">
        <v>1150</v>
      </c>
      <c r="U238" s="100">
        <v>43990</v>
      </c>
      <c r="V238" s="100">
        <v>44355</v>
      </c>
      <c r="W238" s="39">
        <v>1150</v>
      </c>
    </row>
    <row r="239" spans="1:23" s="25" customFormat="1" ht="165" customHeight="1">
      <c r="A239" s="42" t="s">
        <v>784</v>
      </c>
      <c r="B239" s="42">
        <v>80204250585</v>
      </c>
      <c r="C239" s="42" t="s">
        <v>267</v>
      </c>
      <c r="D239" s="42" t="s">
        <v>1082</v>
      </c>
      <c r="E239" s="21" t="s">
        <v>48</v>
      </c>
      <c r="F239" s="42"/>
      <c r="G239" s="42"/>
      <c r="H239" s="42"/>
      <c r="I239" s="42"/>
      <c r="J239" s="42" t="s">
        <v>835</v>
      </c>
      <c r="K239" s="42"/>
      <c r="L239" s="42" t="s">
        <v>834</v>
      </c>
      <c r="M239" s="42"/>
      <c r="N239" s="42"/>
      <c r="O239" s="42"/>
      <c r="P239" s="42"/>
      <c r="Q239" s="42">
        <v>3641991009</v>
      </c>
      <c r="R239" s="42"/>
      <c r="S239" s="42" t="s">
        <v>803</v>
      </c>
      <c r="T239" s="39">
        <v>18693.29</v>
      </c>
      <c r="U239" s="100">
        <v>43944</v>
      </c>
      <c r="V239" s="100">
        <v>43951</v>
      </c>
      <c r="W239" s="28">
        <f>12260.65+3065.07</f>
        <v>15325.72</v>
      </c>
    </row>
    <row r="240" spans="1:23" s="25" customFormat="1" ht="60" customHeight="1">
      <c r="A240" s="25" t="s">
        <v>804</v>
      </c>
      <c r="B240" s="29">
        <v>80204250585</v>
      </c>
      <c r="C240" s="21" t="s">
        <v>83</v>
      </c>
      <c r="D240" s="22" t="s">
        <v>805</v>
      </c>
      <c r="E240" s="21" t="s">
        <v>39</v>
      </c>
      <c r="F240" s="22"/>
      <c r="J240" s="36" t="s">
        <v>806</v>
      </c>
      <c r="L240" s="22" t="s">
        <v>807</v>
      </c>
      <c r="Q240" s="36" t="s">
        <v>806</v>
      </c>
      <c r="S240" s="42" t="s">
        <v>807</v>
      </c>
      <c r="T240" s="28">
        <v>720000</v>
      </c>
      <c r="U240" s="100">
        <v>43839</v>
      </c>
      <c r="V240" s="100">
        <v>44196</v>
      </c>
      <c r="W240" s="28">
        <f>437000+12000+12000</f>
        <v>461000</v>
      </c>
    </row>
    <row r="241" spans="1:23" s="25" customFormat="1" ht="120" customHeight="1">
      <c r="A241" s="29" t="s">
        <v>808</v>
      </c>
      <c r="B241" s="29">
        <v>80204250585</v>
      </c>
      <c r="C241" s="21" t="s">
        <v>83</v>
      </c>
      <c r="D241" s="21" t="s">
        <v>809</v>
      </c>
      <c r="E241" s="21" t="s">
        <v>43</v>
      </c>
      <c r="F241" s="29"/>
      <c r="G241" s="29"/>
      <c r="H241" s="29"/>
      <c r="I241" s="29"/>
      <c r="J241" s="24"/>
      <c r="K241" s="29"/>
      <c r="L241" s="29"/>
      <c r="M241" s="29"/>
      <c r="N241" s="29"/>
      <c r="O241" s="29"/>
      <c r="P241" s="29"/>
      <c r="Q241" s="24" t="s">
        <v>944</v>
      </c>
      <c r="R241" s="43"/>
      <c r="S241" s="43" t="s">
        <v>227</v>
      </c>
      <c r="T241" s="28">
        <v>160225</v>
      </c>
      <c r="U241" s="100">
        <v>44221</v>
      </c>
      <c r="V241" s="100">
        <v>44950</v>
      </c>
      <c r="W241" s="28">
        <v>200</v>
      </c>
    </row>
    <row r="242" spans="1:23" s="25" customFormat="1" ht="60" customHeight="1">
      <c r="A242" s="29" t="s">
        <v>810</v>
      </c>
      <c r="B242" s="29">
        <v>80204250585</v>
      </c>
      <c r="C242" s="21" t="s">
        <v>83</v>
      </c>
      <c r="D242" s="21" t="s">
        <v>811</v>
      </c>
      <c r="E242" s="21" t="s">
        <v>51</v>
      </c>
      <c r="F242" s="29"/>
      <c r="G242" s="29"/>
      <c r="H242" s="29"/>
      <c r="I242" s="29"/>
      <c r="J242" s="24"/>
      <c r="K242" s="29"/>
      <c r="L242" s="29"/>
      <c r="M242" s="29"/>
      <c r="N242" s="29"/>
      <c r="O242" s="29"/>
      <c r="P242" s="29"/>
      <c r="Q242" s="24"/>
      <c r="R242" s="29"/>
      <c r="S242" s="29" t="s">
        <v>812</v>
      </c>
      <c r="T242" s="26">
        <v>3161.55</v>
      </c>
      <c r="U242" s="100">
        <v>43978</v>
      </c>
      <c r="V242" s="100">
        <v>44043</v>
      </c>
      <c r="W242" s="28">
        <v>3026.65</v>
      </c>
    </row>
    <row r="243" spans="1:23" s="25" customFormat="1" ht="409.5" customHeight="1">
      <c r="A243" s="30" t="s">
        <v>813</v>
      </c>
      <c r="B243" s="29">
        <v>80204250585</v>
      </c>
      <c r="C243" s="21" t="s">
        <v>83</v>
      </c>
      <c r="D243" s="22" t="s">
        <v>814</v>
      </c>
      <c r="E243" s="22" t="s">
        <v>38</v>
      </c>
      <c r="F243" s="22"/>
      <c r="J243" s="23" t="s">
        <v>815</v>
      </c>
      <c r="L243" s="23" t="s">
        <v>816</v>
      </c>
      <c r="Q243" s="45" t="s">
        <v>889</v>
      </c>
      <c r="S243" s="25" t="s">
        <v>873</v>
      </c>
      <c r="T243" s="26">
        <v>106608.33</v>
      </c>
      <c r="U243" s="100">
        <v>44055</v>
      </c>
      <c r="V243" s="100">
        <v>44784</v>
      </c>
      <c r="W243" s="28">
        <f>437.5+1512.5+2735+731.25+756.25+875+1650+5625+1130+960+437.5+735+437.5+630</f>
        <v>18652.5</v>
      </c>
    </row>
    <row r="244" spans="1:23" s="25" customFormat="1" ht="30" customHeight="1">
      <c r="A244" s="29" t="s">
        <v>818</v>
      </c>
      <c r="B244" s="29">
        <v>80204250585</v>
      </c>
      <c r="C244" s="21" t="s">
        <v>83</v>
      </c>
      <c r="D244" s="21" t="s">
        <v>819</v>
      </c>
      <c r="E244" s="21" t="s">
        <v>36</v>
      </c>
      <c r="F244" s="29"/>
      <c r="G244" s="29"/>
      <c r="H244" s="29"/>
      <c r="I244" s="29"/>
      <c r="J244" s="23" t="s">
        <v>951</v>
      </c>
      <c r="K244" s="29"/>
      <c r="L244" s="23" t="s">
        <v>950</v>
      </c>
      <c r="M244" s="29"/>
      <c r="N244" s="29"/>
      <c r="O244" s="29"/>
      <c r="P244" s="29"/>
      <c r="Q244" s="24" t="s">
        <v>153</v>
      </c>
      <c r="R244" s="29"/>
      <c r="S244" s="29" t="s">
        <v>154</v>
      </c>
      <c r="T244" s="28">
        <v>137540</v>
      </c>
      <c r="U244" s="100">
        <v>44092</v>
      </c>
      <c r="V244" s="100">
        <v>44821</v>
      </c>
      <c r="W244" s="28">
        <f>17192.5+17192.5+17192.5</f>
        <v>51577.5</v>
      </c>
    </row>
    <row r="245" spans="1:23" s="25" customFormat="1" ht="345" customHeight="1">
      <c r="A245" s="29" t="s">
        <v>820</v>
      </c>
      <c r="B245" s="29">
        <v>80204250585</v>
      </c>
      <c r="C245" s="21" t="s">
        <v>83</v>
      </c>
      <c r="D245" s="21" t="s">
        <v>821</v>
      </c>
      <c r="E245" s="21" t="s">
        <v>51</v>
      </c>
      <c r="F245" s="21"/>
      <c r="G245" s="29"/>
      <c r="H245" s="21"/>
      <c r="I245" s="21"/>
      <c r="J245" s="24"/>
      <c r="K245" s="29"/>
      <c r="L245" s="29"/>
      <c r="M245" s="21" t="s">
        <v>839</v>
      </c>
      <c r="N245" s="29"/>
      <c r="O245" s="21" t="s">
        <v>837</v>
      </c>
      <c r="P245" s="21" t="s">
        <v>838</v>
      </c>
      <c r="Q245" s="24"/>
      <c r="R245" s="29"/>
      <c r="S245" s="29"/>
      <c r="T245" s="25">
        <v>7839100.7300000004</v>
      </c>
      <c r="U245" s="100">
        <v>44020</v>
      </c>
      <c r="V245" s="100">
        <v>46210</v>
      </c>
      <c r="W245" s="28">
        <f>86465.92+39513.46+1174.93+913.5+94801.63+3084.32+7271.46+1330.1+44732.2+4413.91+1330.1+44732.2+3084.33+94801.82+369.51+3084.31+94801.82+1330.09+(44732.19*2)+2726.8+94801.83+3084.32+112632.6+1330.09+97886.15+566.54+1330.09+44732.2+17192.5+97886.14+1330.09+44732.19+31272.336+908.92+97885.95+1330.09+44732.19+87155.21</f>
        <v>1400216.2259999996</v>
      </c>
    </row>
    <row r="246" spans="1:23" s="25" customFormat="1" ht="45" customHeight="1">
      <c r="A246" s="25" t="s">
        <v>822</v>
      </c>
      <c r="B246" s="29">
        <v>80204250585</v>
      </c>
      <c r="C246" s="21" t="s">
        <v>83</v>
      </c>
      <c r="D246" s="21" t="s">
        <v>1593</v>
      </c>
      <c r="E246" s="21" t="s">
        <v>39</v>
      </c>
      <c r="F246" s="29"/>
      <c r="G246" s="29"/>
      <c r="H246" s="29"/>
      <c r="I246" s="29"/>
      <c r="J246" s="24"/>
      <c r="K246" s="29"/>
      <c r="L246" s="29"/>
      <c r="M246" s="29"/>
      <c r="N246" s="29"/>
      <c r="O246" s="29"/>
      <c r="P246" s="29"/>
      <c r="Q246" s="24" t="s">
        <v>695</v>
      </c>
      <c r="R246" s="29"/>
      <c r="S246" s="25" t="s">
        <v>340</v>
      </c>
      <c r="T246" s="28">
        <v>11670</v>
      </c>
      <c r="U246" s="100">
        <v>44013</v>
      </c>
      <c r="V246" s="100">
        <v>44377</v>
      </c>
      <c r="W246" s="28">
        <v>11670</v>
      </c>
    </row>
    <row r="247" spans="1:23" s="25" customFormat="1" ht="120" customHeight="1">
      <c r="A247" s="25" t="s">
        <v>823</v>
      </c>
      <c r="B247" s="29">
        <v>80204250585</v>
      </c>
      <c r="C247" s="21" t="s">
        <v>83</v>
      </c>
      <c r="D247" s="21" t="s">
        <v>824</v>
      </c>
      <c r="E247" s="21" t="s">
        <v>39</v>
      </c>
      <c r="F247" s="29"/>
      <c r="G247" s="29"/>
      <c r="H247" s="29"/>
      <c r="I247" s="29"/>
      <c r="J247" s="24"/>
      <c r="K247" s="29"/>
      <c r="L247" s="29"/>
      <c r="M247" s="29"/>
      <c r="N247" s="29"/>
      <c r="O247" s="29"/>
      <c r="P247" s="29"/>
      <c r="Q247" s="24"/>
      <c r="R247" s="29"/>
      <c r="S247" s="22" t="s">
        <v>855</v>
      </c>
      <c r="T247" s="28">
        <v>5000</v>
      </c>
      <c r="U247" s="100">
        <v>44075</v>
      </c>
      <c r="V247" s="100">
        <v>44408</v>
      </c>
      <c r="W247" s="28">
        <f>336.07+672.13+336.07+336.06-134.42-33.6+(336.06*2)+672.13</f>
        <v>2856.56</v>
      </c>
    </row>
    <row r="248" spans="1:23" s="25" customFormat="1" ht="120" customHeight="1">
      <c r="A248" s="25" t="s">
        <v>825</v>
      </c>
      <c r="B248" s="29">
        <v>80204250585</v>
      </c>
      <c r="C248" s="21" t="s">
        <v>83</v>
      </c>
      <c r="D248" s="21" t="s">
        <v>824</v>
      </c>
      <c r="E248" s="21" t="s">
        <v>39</v>
      </c>
      <c r="F248" s="29"/>
      <c r="G248" s="29"/>
      <c r="H248" s="29"/>
      <c r="I248" s="29"/>
      <c r="J248" s="24"/>
      <c r="K248" s="29"/>
      <c r="L248" s="29"/>
      <c r="M248" s="29"/>
      <c r="N248" s="29"/>
      <c r="O248" s="29"/>
      <c r="P248" s="29"/>
      <c r="Q248" s="24"/>
      <c r="R248" s="29"/>
      <c r="S248" s="25" t="s">
        <v>836</v>
      </c>
      <c r="T248" s="28">
        <v>39000</v>
      </c>
      <c r="U248" s="100">
        <v>44075</v>
      </c>
      <c r="V248" s="100">
        <v>44408</v>
      </c>
      <c r="W248" s="28">
        <f>(336.07*9)+(98.36*2)+(192.62*4)+(336.06*5)+(336.06*16)</f>
        <v>11049.09</v>
      </c>
    </row>
    <row r="249" spans="1:23" s="25" customFormat="1" ht="29.1" customHeight="1">
      <c r="A249" s="25" t="s">
        <v>826</v>
      </c>
      <c r="B249" s="29">
        <v>80204250585</v>
      </c>
      <c r="C249" s="21" t="s">
        <v>83</v>
      </c>
      <c r="D249" s="21" t="s">
        <v>827</v>
      </c>
      <c r="E249" s="21" t="s">
        <v>48</v>
      </c>
      <c r="F249" s="29"/>
      <c r="G249" s="29"/>
      <c r="H249" s="29"/>
      <c r="I249" s="29"/>
      <c r="J249" s="24"/>
      <c r="K249" s="29"/>
      <c r="L249" s="29"/>
      <c r="M249" s="29"/>
      <c r="N249" s="29"/>
      <c r="O249" s="29"/>
      <c r="P249" s="29"/>
      <c r="Q249" s="24" t="s">
        <v>109</v>
      </c>
      <c r="R249" s="29"/>
      <c r="S249" s="29" t="s">
        <v>833</v>
      </c>
      <c r="T249" s="28">
        <v>8593</v>
      </c>
      <c r="U249" s="100">
        <v>43922</v>
      </c>
      <c r="V249" s="100">
        <v>44286</v>
      </c>
      <c r="W249" s="123">
        <v>0</v>
      </c>
    </row>
    <row r="250" spans="1:23" s="25" customFormat="1" ht="30" customHeight="1">
      <c r="A250" s="25" t="s">
        <v>828</v>
      </c>
      <c r="B250" s="29">
        <v>80204250585</v>
      </c>
      <c r="C250" s="21" t="s">
        <v>83</v>
      </c>
      <c r="D250" s="21" t="s">
        <v>829</v>
      </c>
      <c r="E250" s="21" t="s">
        <v>48</v>
      </c>
      <c r="F250" s="29"/>
      <c r="G250" s="29"/>
      <c r="H250" s="29"/>
      <c r="I250" s="29"/>
      <c r="J250" s="24"/>
      <c r="K250" s="29"/>
      <c r="L250" s="29"/>
      <c r="M250" s="29"/>
      <c r="N250" s="29"/>
      <c r="O250" s="29"/>
      <c r="P250" s="29"/>
      <c r="Q250" s="24" t="s">
        <v>770</v>
      </c>
      <c r="R250" s="29"/>
      <c r="S250" s="22" t="s">
        <v>771</v>
      </c>
      <c r="T250" s="28">
        <v>35</v>
      </c>
      <c r="U250" s="100">
        <v>43922</v>
      </c>
      <c r="V250" s="100">
        <v>43922</v>
      </c>
      <c r="W250" s="123">
        <v>0</v>
      </c>
    </row>
    <row r="251" spans="1:23" s="25" customFormat="1" ht="240" customHeight="1">
      <c r="A251" s="29" t="s">
        <v>817</v>
      </c>
      <c r="B251" s="29">
        <v>80204250585</v>
      </c>
      <c r="C251" s="21" t="s">
        <v>83</v>
      </c>
      <c r="D251" s="21" t="s">
        <v>830</v>
      </c>
      <c r="E251" s="21" t="s">
        <v>36</v>
      </c>
      <c r="F251" s="29"/>
      <c r="G251" s="29"/>
      <c r="H251" s="29"/>
      <c r="I251" s="29"/>
      <c r="J251" s="23" t="s">
        <v>831</v>
      </c>
      <c r="K251" s="29"/>
      <c r="L251" s="22" t="s">
        <v>832</v>
      </c>
      <c r="M251" s="29"/>
      <c r="N251" s="29"/>
      <c r="O251" s="29"/>
      <c r="P251" s="29"/>
      <c r="Q251" s="37" t="s">
        <v>1174</v>
      </c>
      <c r="R251" s="29"/>
      <c r="S251" s="29" t="s">
        <v>1171</v>
      </c>
      <c r="T251" s="26">
        <v>2447970</v>
      </c>
      <c r="U251" s="100">
        <v>44197</v>
      </c>
      <c r="V251" s="100">
        <v>46022</v>
      </c>
      <c r="W251" s="28">
        <v>0</v>
      </c>
    </row>
    <row r="252" spans="1:23" s="25" customFormat="1" ht="105" customHeight="1">
      <c r="A252" s="53" t="s">
        <v>840</v>
      </c>
      <c r="B252" s="29">
        <v>80204250585</v>
      </c>
      <c r="C252" s="21" t="s">
        <v>83</v>
      </c>
      <c r="D252" s="21" t="s">
        <v>753</v>
      </c>
      <c r="E252" s="21" t="s">
        <v>48</v>
      </c>
      <c r="F252" s="22"/>
      <c r="H252" s="29"/>
      <c r="J252" s="23" t="s">
        <v>754</v>
      </c>
      <c r="K252" s="29"/>
      <c r="L252" s="21" t="s">
        <v>755</v>
      </c>
      <c r="M252" s="29"/>
      <c r="Q252" s="23" t="s">
        <v>754</v>
      </c>
      <c r="S252" s="32" t="s">
        <v>755</v>
      </c>
      <c r="T252" s="28">
        <v>13567.5</v>
      </c>
      <c r="U252" s="100">
        <v>43770</v>
      </c>
      <c r="V252" s="100">
        <v>43951</v>
      </c>
      <c r="W252" s="28">
        <f>1110.86+2035.45</f>
        <v>3146.31</v>
      </c>
    </row>
    <row r="253" spans="1:23" s="25" customFormat="1" ht="150" customHeight="1">
      <c r="A253" s="29" t="s">
        <v>841</v>
      </c>
      <c r="B253" s="29">
        <v>80204250585</v>
      </c>
      <c r="C253" s="21" t="s">
        <v>83</v>
      </c>
      <c r="D253" s="21" t="s">
        <v>849</v>
      </c>
      <c r="E253" s="21" t="s">
        <v>48</v>
      </c>
      <c r="F253" s="29"/>
      <c r="G253" s="29"/>
      <c r="H253" s="29"/>
      <c r="I253" s="29"/>
      <c r="J253" s="24"/>
      <c r="K253" s="29"/>
      <c r="L253" s="29"/>
      <c r="M253" s="29"/>
      <c r="N253" s="29"/>
      <c r="O253" s="29"/>
      <c r="P253" s="29"/>
      <c r="Q253" s="37" t="s">
        <v>843</v>
      </c>
      <c r="R253" s="29"/>
      <c r="S253" s="29" t="s">
        <v>842</v>
      </c>
      <c r="T253" s="28">
        <v>540.98</v>
      </c>
      <c r="U253" s="100">
        <v>43972</v>
      </c>
      <c r="V253" s="100">
        <v>43972</v>
      </c>
      <c r="W253" s="28">
        <f>540.98+1803.28+901.64+3245.9+540.98</f>
        <v>7032.7800000000007</v>
      </c>
    </row>
    <row r="254" spans="1:23" s="25" customFormat="1" ht="90" customHeight="1">
      <c r="A254" s="29" t="s">
        <v>844</v>
      </c>
      <c r="B254" s="29">
        <v>80204250585</v>
      </c>
      <c r="C254" s="21" t="s">
        <v>83</v>
      </c>
      <c r="D254" s="21" t="s">
        <v>908</v>
      </c>
      <c r="E254" s="21" t="s">
        <v>39</v>
      </c>
      <c r="F254" s="29"/>
      <c r="G254" s="29"/>
      <c r="H254" s="29"/>
      <c r="I254" s="29"/>
      <c r="J254" s="24"/>
      <c r="K254" s="29"/>
      <c r="L254" s="29"/>
      <c r="M254" s="29"/>
      <c r="N254" s="29"/>
      <c r="O254" s="29"/>
      <c r="P254" s="29"/>
      <c r="Q254" s="24" t="s">
        <v>846</v>
      </c>
      <c r="R254" s="29"/>
      <c r="S254" s="29" t="s">
        <v>845</v>
      </c>
      <c r="T254" s="26">
        <v>16436.59</v>
      </c>
      <c r="U254" s="100">
        <v>43831</v>
      </c>
      <c r="V254" s="100">
        <v>44196</v>
      </c>
      <c r="W254" s="28">
        <f>5122.73+5122.73+5122.73+5122.73</f>
        <v>20490.919999999998</v>
      </c>
    </row>
    <row r="255" spans="1:23" s="25" customFormat="1" ht="90" customHeight="1">
      <c r="A255" s="53" t="s">
        <v>847</v>
      </c>
      <c r="B255" s="29">
        <v>80204250585</v>
      </c>
      <c r="C255" s="21" t="s">
        <v>83</v>
      </c>
      <c r="D255" s="21" t="s">
        <v>219</v>
      </c>
      <c r="E255" s="21" t="s">
        <v>48</v>
      </c>
      <c r="F255" s="22"/>
      <c r="H255" s="29"/>
      <c r="J255" s="23" t="s">
        <v>220</v>
      </c>
      <c r="K255" s="29"/>
      <c r="L255" s="21" t="s">
        <v>221</v>
      </c>
      <c r="M255" s="29"/>
      <c r="Q255" s="24" t="s">
        <v>220</v>
      </c>
      <c r="S255" s="43" t="s">
        <v>221</v>
      </c>
      <c r="T255" s="28">
        <v>18516.5</v>
      </c>
      <c r="U255" s="100">
        <v>43770</v>
      </c>
      <c r="V255" s="100">
        <v>43951</v>
      </c>
      <c r="W255" s="28">
        <v>3299.37</v>
      </c>
    </row>
    <row r="256" spans="1:23" s="25" customFormat="1" ht="30" customHeight="1">
      <c r="A256" s="29" t="s">
        <v>848</v>
      </c>
      <c r="B256" s="29">
        <v>80204250585</v>
      </c>
      <c r="C256" s="21" t="s">
        <v>83</v>
      </c>
      <c r="D256" s="21" t="s">
        <v>917</v>
      </c>
      <c r="E256" s="21" t="s">
        <v>48</v>
      </c>
      <c r="F256" s="29"/>
      <c r="G256" s="29"/>
      <c r="H256" s="29"/>
      <c r="I256" s="29"/>
      <c r="J256" s="24"/>
      <c r="K256" s="29"/>
      <c r="L256" s="29"/>
      <c r="M256" s="29"/>
      <c r="N256" s="29"/>
      <c r="O256" s="29"/>
      <c r="P256" s="29"/>
      <c r="Q256" s="24" t="s">
        <v>927</v>
      </c>
      <c r="S256" s="43" t="s">
        <v>928</v>
      </c>
      <c r="T256" s="28">
        <v>145</v>
      </c>
      <c r="U256" s="100">
        <v>43252</v>
      </c>
      <c r="V256" s="100">
        <v>44926</v>
      </c>
      <c r="W256" s="28">
        <f>9.92+1.03+3.1+1.97+1.03+4.13+14.76+4.13+1.03+1.03+(1.03*3)+1.03+62.62</f>
        <v>108.87</v>
      </c>
    </row>
    <row r="257" spans="1:23" s="25" customFormat="1" ht="105" customHeight="1">
      <c r="A257" s="25" t="s">
        <v>850</v>
      </c>
      <c r="B257" s="29">
        <v>80204250585</v>
      </c>
      <c r="C257" s="21" t="s">
        <v>83</v>
      </c>
      <c r="D257" s="22" t="s">
        <v>851</v>
      </c>
      <c r="E257" s="21" t="s">
        <v>43</v>
      </c>
      <c r="F257" s="22"/>
      <c r="J257" s="36" t="s">
        <v>852</v>
      </c>
      <c r="L257" s="22" t="s">
        <v>853</v>
      </c>
      <c r="Q257" s="24" t="s">
        <v>190</v>
      </c>
      <c r="S257" s="25" t="s">
        <v>191</v>
      </c>
      <c r="T257" s="28">
        <v>24500</v>
      </c>
      <c r="U257" s="100">
        <v>43852</v>
      </c>
      <c r="V257" s="100">
        <v>44582</v>
      </c>
      <c r="W257" s="28">
        <v>24500</v>
      </c>
    </row>
    <row r="258" spans="1:23" s="25" customFormat="1" ht="45" customHeight="1">
      <c r="A258" s="29" t="s">
        <v>854</v>
      </c>
      <c r="B258" s="29">
        <v>80204250585</v>
      </c>
      <c r="C258" s="21" t="s">
        <v>83</v>
      </c>
      <c r="D258" s="22" t="s">
        <v>1054</v>
      </c>
      <c r="E258" s="21" t="s">
        <v>48</v>
      </c>
      <c r="F258" s="29"/>
      <c r="G258" s="29"/>
      <c r="H258" s="29"/>
      <c r="I258" s="29"/>
      <c r="J258" s="24"/>
      <c r="K258" s="29"/>
      <c r="L258" s="29"/>
      <c r="M258" s="29"/>
      <c r="N258" s="29"/>
      <c r="O258" s="29"/>
      <c r="P258" s="29"/>
      <c r="Q258" s="24"/>
      <c r="R258" s="29"/>
      <c r="S258" s="29" t="s">
        <v>916</v>
      </c>
      <c r="T258" s="26">
        <v>7090.32</v>
      </c>
      <c r="U258" s="100">
        <v>43647</v>
      </c>
      <c r="V258" s="100">
        <v>44316</v>
      </c>
      <c r="W258" s="28">
        <f>2518.11+162.75+3598.07+368.11+180.82+262.46+628.07+1356.89-464.26+448.52+283.24+696.59+1504.91-514.91+497.45+314.14+1134.18+1467.54+1588.81</f>
        <v>16031.49</v>
      </c>
    </row>
    <row r="259" spans="1:23" s="25" customFormat="1" ht="60" customHeight="1">
      <c r="A259" s="29" t="s">
        <v>856</v>
      </c>
      <c r="B259" s="29">
        <v>80204250585</v>
      </c>
      <c r="C259" s="21" t="s">
        <v>267</v>
      </c>
      <c r="D259" s="22" t="s">
        <v>857</v>
      </c>
      <c r="E259" s="21" t="s">
        <v>48</v>
      </c>
      <c r="F259" s="22"/>
      <c r="G259" s="22"/>
      <c r="H259" s="22"/>
      <c r="I259" s="22"/>
      <c r="J259" s="22"/>
      <c r="K259" s="22"/>
      <c r="L259" s="22"/>
      <c r="M259" s="22"/>
      <c r="N259" s="29"/>
      <c r="O259" s="29"/>
      <c r="P259" s="29"/>
      <c r="Q259" s="22">
        <v>1164670455</v>
      </c>
      <c r="R259" s="29"/>
      <c r="S259" s="22" t="s">
        <v>858</v>
      </c>
      <c r="T259" s="22">
        <v>42</v>
      </c>
      <c r="U259" s="100">
        <v>44095</v>
      </c>
      <c r="V259" s="100">
        <v>44096</v>
      </c>
      <c r="W259" s="123">
        <v>0</v>
      </c>
    </row>
    <row r="260" spans="1:23" s="25" customFormat="1" ht="60" customHeight="1">
      <c r="A260" s="29" t="s">
        <v>859</v>
      </c>
      <c r="B260" s="29">
        <v>80204250585</v>
      </c>
      <c r="C260" s="21" t="s">
        <v>267</v>
      </c>
      <c r="D260" s="22" t="s">
        <v>860</v>
      </c>
      <c r="E260" s="21" t="s">
        <v>48</v>
      </c>
      <c r="F260" s="22"/>
      <c r="G260" s="22"/>
      <c r="H260" s="22"/>
      <c r="I260" s="22"/>
      <c r="J260" s="22"/>
      <c r="K260" s="22"/>
      <c r="L260" s="22"/>
      <c r="M260" s="22"/>
      <c r="N260" s="29"/>
      <c r="O260" s="29"/>
      <c r="P260" s="29"/>
      <c r="Q260" s="22"/>
      <c r="R260" s="29"/>
      <c r="S260" s="22" t="s">
        <v>523</v>
      </c>
      <c r="T260" s="22">
        <v>671.39</v>
      </c>
      <c r="U260" s="100">
        <v>44044</v>
      </c>
      <c r="V260" s="100">
        <v>44408</v>
      </c>
      <c r="W260" s="123">
        <v>0</v>
      </c>
    </row>
    <row r="261" spans="1:23" s="25" customFormat="1" ht="105" customHeight="1">
      <c r="A261" s="29" t="s">
        <v>861</v>
      </c>
      <c r="B261" s="29">
        <v>80204250585</v>
      </c>
      <c r="C261" s="21" t="s">
        <v>267</v>
      </c>
      <c r="D261" s="22" t="s">
        <v>862</v>
      </c>
      <c r="E261" s="21" t="s">
        <v>48</v>
      </c>
      <c r="F261" s="22"/>
      <c r="G261" s="22"/>
      <c r="H261" s="22"/>
      <c r="I261" s="22"/>
      <c r="J261" s="22"/>
      <c r="K261" s="22"/>
      <c r="L261" s="22"/>
      <c r="M261" s="22"/>
      <c r="N261" s="29"/>
      <c r="O261" s="29"/>
      <c r="P261" s="29"/>
      <c r="Q261" s="22">
        <v>4552920482</v>
      </c>
      <c r="R261" s="29"/>
      <c r="S261" s="22" t="s">
        <v>863</v>
      </c>
      <c r="T261" s="22">
        <v>400</v>
      </c>
      <c r="U261" s="100">
        <v>44075</v>
      </c>
      <c r="V261" s="100">
        <v>44561</v>
      </c>
      <c r="W261" s="123">
        <v>0</v>
      </c>
    </row>
    <row r="262" spans="1:23" s="25" customFormat="1" ht="135" customHeight="1">
      <c r="A262" s="29" t="s">
        <v>864</v>
      </c>
      <c r="B262" s="29">
        <v>80204250585</v>
      </c>
      <c r="C262" s="21" t="s">
        <v>267</v>
      </c>
      <c r="D262" s="22" t="s">
        <v>865</v>
      </c>
      <c r="E262" s="21" t="s">
        <v>48</v>
      </c>
      <c r="F262" s="22"/>
      <c r="G262" s="22"/>
      <c r="H262" s="22"/>
      <c r="I262" s="22"/>
      <c r="J262" s="22"/>
      <c r="K262" s="22"/>
      <c r="L262" s="22"/>
      <c r="M262" s="22"/>
      <c r="N262" s="29"/>
      <c r="O262" s="29"/>
      <c r="P262" s="29"/>
      <c r="Q262" s="22">
        <v>1214540559</v>
      </c>
      <c r="R262" s="29"/>
      <c r="S262" s="22" t="s">
        <v>866</v>
      </c>
      <c r="T262" s="46">
        <v>1012.7</v>
      </c>
      <c r="U262" s="100">
        <v>44105</v>
      </c>
      <c r="V262" s="100">
        <v>44834</v>
      </c>
      <c r="W262" s="28">
        <v>1012.7</v>
      </c>
    </row>
    <row r="263" spans="1:23" s="25" customFormat="1" ht="75" customHeight="1">
      <c r="A263" s="29" t="s">
        <v>867</v>
      </c>
      <c r="B263" s="29">
        <v>80204250585</v>
      </c>
      <c r="C263" s="21" t="s">
        <v>267</v>
      </c>
      <c r="D263" s="22" t="s">
        <v>868</v>
      </c>
      <c r="E263" s="21" t="s">
        <v>51</v>
      </c>
      <c r="F263" s="22"/>
      <c r="G263" s="22"/>
      <c r="H263" s="22"/>
      <c r="I263" s="29"/>
      <c r="J263" s="22">
        <v>1765930589</v>
      </c>
      <c r="K263" s="22"/>
      <c r="L263" s="22" t="s">
        <v>157</v>
      </c>
      <c r="M263" s="22"/>
      <c r="N263" s="29"/>
      <c r="O263" s="29"/>
      <c r="P263" s="29"/>
      <c r="Q263" s="22">
        <v>1765930589</v>
      </c>
      <c r="R263" s="29"/>
      <c r="S263" s="22" t="s">
        <v>869</v>
      </c>
      <c r="T263" s="46">
        <v>19600</v>
      </c>
      <c r="U263" s="100">
        <v>44029</v>
      </c>
      <c r="V263" s="100">
        <v>44196</v>
      </c>
      <c r="W263" s="28">
        <f>6229.51-32.79</f>
        <v>6196.72</v>
      </c>
    </row>
    <row r="264" spans="1:23" s="25" customFormat="1" ht="90" customHeight="1">
      <c r="A264" s="29" t="s">
        <v>870</v>
      </c>
      <c r="B264" s="29">
        <v>80204250585</v>
      </c>
      <c r="C264" s="21" t="s">
        <v>267</v>
      </c>
      <c r="D264" s="22" t="s">
        <v>871</v>
      </c>
      <c r="E264" s="21" t="s">
        <v>48</v>
      </c>
      <c r="F264" s="22"/>
      <c r="G264" s="22"/>
      <c r="H264" s="22"/>
      <c r="I264" s="22"/>
      <c r="J264" s="22" t="s">
        <v>1480</v>
      </c>
      <c r="K264" s="22"/>
      <c r="L264" s="22" t="s">
        <v>1481</v>
      </c>
      <c r="M264" s="22"/>
      <c r="N264" s="29"/>
      <c r="O264" s="29"/>
      <c r="P264" s="29"/>
      <c r="Q264" s="22">
        <v>4303141008</v>
      </c>
      <c r="R264" s="29"/>
      <c r="S264" s="22" t="s">
        <v>872</v>
      </c>
      <c r="T264" s="46">
        <v>6500</v>
      </c>
      <c r="U264" s="100">
        <v>44047</v>
      </c>
      <c r="V264" s="100">
        <v>44411</v>
      </c>
      <c r="W264" s="28">
        <v>6500</v>
      </c>
    </row>
    <row r="265" spans="1:23" s="25" customFormat="1" ht="75" customHeight="1">
      <c r="A265" s="29" t="s">
        <v>874</v>
      </c>
      <c r="B265" s="29">
        <v>80204250585</v>
      </c>
      <c r="C265" s="21" t="s">
        <v>267</v>
      </c>
      <c r="D265" s="22" t="s">
        <v>875</v>
      </c>
      <c r="E265" s="21" t="s">
        <v>39</v>
      </c>
      <c r="F265" s="22"/>
      <c r="G265" s="22"/>
      <c r="H265" s="22"/>
      <c r="I265" s="29"/>
      <c r="J265" s="22">
        <v>80057930150</v>
      </c>
      <c r="K265" s="22"/>
      <c r="L265" s="22" t="s">
        <v>876</v>
      </c>
      <c r="M265" s="22"/>
      <c r="N265" s="29"/>
      <c r="O265" s="29"/>
      <c r="P265" s="29"/>
      <c r="Q265" s="22">
        <v>80057930150</v>
      </c>
      <c r="R265" s="29"/>
      <c r="S265" s="22" t="s">
        <v>877</v>
      </c>
      <c r="T265" s="46">
        <v>163000</v>
      </c>
      <c r="U265" s="100">
        <v>44048</v>
      </c>
      <c r="V265" s="100">
        <v>44620</v>
      </c>
      <c r="W265" s="28">
        <f>20114.75+4022.54</f>
        <v>24137.29</v>
      </c>
    </row>
    <row r="266" spans="1:23" s="25" customFormat="1" ht="60" customHeight="1">
      <c r="A266" s="29" t="s">
        <v>878</v>
      </c>
      <c r="B266" s="29">
        <v>80204250585</v>
      </c>
      <c r="C266" s="21" t="s">
        <v>267</v>
      </c>
      <c r="D266" s="22" t="s">
        <v>879</v>
      </c>
      <c r="E266" s="21" t="s">
        <v>48</v>
      </c>
      <c r="F266" s="29"/>
      <c r="G266" s="29"/>
      <c r="H266" s="29"/>
      <c r="I266" s="29"/>
      <c r="J266" s="24"/>
      <c r="K266" s="29"/>
      <c r="L266" s="29"/>
      <c r="M266" s="29"/>
      <c r="N266" s="29"/>
      <c r="O266" s="29"/>
      <c r="P266" s="29"/>
      <c r="Q266" s="44" t="s">
        <v>881</v>
      </c>
      <c r="R266" s="29"/>
      <c r="S266" s="22" t="s">
        <v>880</v>
      </c>
      <c r="T266" s="46">
        <v>1489.49</v>
      </c>
      <c r="U266" s="100">
        <v>44025</v>
      </c>
      <c r="V266" s="100">
        <v>44025</v>
      </c>
      <c r="W266" s="123">
        <v>0</v>
      </c>
    </row>
    <row r="267" spans="1:23" s="25" customFormat="1" ht="30" customHeight="1">
      <c r="A267" s="29" t="s">
        <v>882</v>
      </c>
      <c r="B267" s="29">
        <v>80204250585</v>
      </c>
      <c r="C267" s="21" t="s">
        <v>267</v>
      </c>
      <c r="D267" s="22" t="s">
        <v>883</v>
      </c>
      <c r="E267" s="21" t="s">
        <v>48</v>
      </c>
      <c r="F267" s="29"/>
      <c r="G267" s="29"/>
      <c r="H267" s="29"/>
      <c r="I267" s="29"/>
      <c r="J267" s="24"/>
      <c r="K267" s="29"/>
      <c r="L267" s="29"/>
      <c r="M267" s="29"/>
      <c r="N267" s="29"/>
      <c r="O267" s="29"/>
      <c r="P267" s="29"/>
      <c r="Q267" s="44" t="s">
        <v>712</v>
      </c>
      <c r="R267" s="29"/>
      <c r="S267" s="22" t="s">
        <v>711</v>
      </c>
      <c r="T267" s="46">
        <v>4455</v>
      </c>
      <c r="U267" s="100">
        <v>44034</v>
      </c>
      <c r="V267" s="100">
        <v>44034</v>
      </c>
      <c r="W267" s="46">
        <v>4455</v>
      </c>
    </row>
    <row r="268" spans="1:23" s="25" customFormat="1" ht="30" customHeight="1">
      <c r="A268" s="29" t="s">
        <v>884</v>
      </c>
      <c r="B268" s="29">
        <v>80204250585</v>
      </c>
      <c r="C268" s="21" t="s">
        <v>267</v>
      </c>
      <c r="D268" s="22" t="s">
        <v>885</v>
      </c>
      <c r="E268" s="21" t="s">
        <v>48</v>
      </c>
      <c r="F268" s="29"/>
      <c r="G268" s="29"/>
      <c r="H268" s="29"/>
      <c r="I268" s="29"/>
      <c r="J268" s="24"/>
      <c r="K268" s="29"/>
      <c r="L268" s="29"/>
      <c r="M268" s="29"/>
      <c r="N268" s="29"/>
      <c r="O268" s="29"/>
      <c r="P268" s="29"/>
      <c r="Q268" s="44" t="s">
        <v>887</v>
      </c>
      <c r="R268" s="29"/>
      <c r="S268" s="22" t="s">
        <v>886</v>
      </c>
      <c r="T268" s="46">
        <v>3770.49</v>
      </c>
      <c r="U268" s="100">
        <v>44050</v>
      </c>
      <c r="V268" s="100">
        <v>44050</v>
      </c>
      <c r="W268" s="28">
        <v>3770.49</v>
      </c>
    </row>
    <row r="269" spans="1:23" s="25" customFormat="1" ht="60" customHeight="1">
      <c r="A269" s="29" t="s">
        <v>890</v>
      </c>
      <c r="B269" s="29">
        <v>80204250585</v>
      </c>
      <c r="C269" s="21" t="s">
        <v>267</v>
      </c>
      <c r="D269" s="22" t="s">
        <v>891</v>
      </c>
      <c r="E269" s="21" t="s">
        <v>58</v>
      </c>
      <c r="F269" s="29"/>
      <c r="G269" s="29"/>
      <c r="H269" s="29"/>
      <c r="I269" s="29"/>
      <c r="J269" s="36" t="s">
        <v>449</v>
      </c>
      <c r="K269" s="29"/>
      <c r="L269" s="22" t="s">
        <v>913</v>
      </c>
      <c r="M269" s="29"/>
      <c r="N269" s="29"/>
      <c r="O269" s="29"/>
      <c r="P269" s="29"/>
      <c r="Q269" s="36" t="s">
        <v>665</v>
      </c>
      <c r="R269" s="29"/>
      <c r="S269" s="22" t="s">
        <v>169</v>
      </c>
      <c r="T269" s="46">
        <v>210000</v>
      </c>
      <c r="U269" s="100">
        <v>44197</v>
      </c>
      <c r="V269" s="100">
        <v>44926</v>
      </c>
      <c r="W269" s="123">
        <v>0</v>
      </c>
    </row>
    <row r="270" spans="1:23" s="25" customFormat="1" ht="75" customHeight="1">
      <c r="A270" s="29" t="s">
        <v>892</v>
      </c>
      <c r="B270" s="29">
        <v>80204250585</v>
      </c>
      <c r="C270" s="21" t="s">
        <v>267</v>
      </c>
      <c r="D270" s="22" t="s">
        <v>893</v>
      </c>
      <c r="E270" s="21" t="s">
        <v>48</v>
      </c>
      <c r="F270" s="29"/>
      <c r="G270" s="29"/>
      <c r="H270" s="29"/>
      <c r="I270" s="29"/>
      <c r="J270" s="24"/>
      <c r="K270" s="29"/>
      <c r="L270" s="29"/>
      <c r="M270" s="29"/>
      <c r="N270" s="29"/>
      <c r="O270" s="29"/>
      <c r="P270" s="29"/>
      <c r="Q270" s="43" t="s">
        <v>152</v>
      </c>
      <c r="R270" s="29"/>
      <c r="S270" s="29" t="s">
        <v>899</v>
      </c>
      <c r="T270" s="46">
        <v>28695.599999999999</v>
      </c>
      <c r="U270" s="100">
        <v>44098</v>
      </c>
      <c r="V270" s="100">
        <v>44643</v>
      </c>
      <c r="W270" s="28">
        <f>870+(4782.59*2)+4782.59</f>
        <v>15217.77</v>
      </c>
    </row>
    <row r="271" spans="1:23" s="25" customFormat="1" ht="60" customHeight="1">
      <c r="A271" s="29" t="s">
        <v>894</v>
      </c>
      <c r="B271" s="29">
        <v>80204250585</v>
      </c>
      <c r="C271" s="21" t="s">
        <v>267</v>
      </c>
      <c r="D271" s="22" t="s">
        <v>895</v>
      </c>
      <c r="E271" s="21" t="s">
        <v>58</v>
      </c>
      <c r="F271" s="21" t="s">
        <v>1016</v>
      </c>
      <c r="G271" s="29"/>
      <c r="H271" s="21" t="s">
        <v>1015</v>
      </c>
      <c r="I271" s="22" t="s">
        <v>108</v>
      </c>
      <c r="J271" s="47"/>
      <c r="K271" s="29"/>
      <c r="L271" s="21"/>
      <c r="M271" s="21" t="s">
        <v>1016</v>
      </c>
      <c r="N271" s="29"/>
      <c r="O271" s="21" t="s">
        <v>1015</v>
      </c>
      <c r="P271" s="22" t="s">
        <v>108</v>
      </c>
      <c r="Q271" s="47"/>
      <c r="R271" s="29"/>
      <c r="S271" s="29"/>
      <c r="T271" s="46">
        <v>159695</v>
      </c>
      <c r="U271" s="100">
        <v>44223</v>
      </c>
      <c r="V271" s="100">
        <v>45317</v>
      </c>
      <c r="W271" s="28">
        <f>66486.62+33900.85+4893.36+2495.08+4893.36+2495.31+4893.36+2495.31</f>
        <v>122553.25</v>
      </c>
    </row>
    <row r="272" spans="1:23" s="25" customFormat="1" ht="60" customHeight="1">
      <c r="A272" s="29" t="s">
        <v>896</v>
      </c>
      <c r="B272" s="29">
        <v>80204250585</v>
      </c>
      <c r="C272" s="21" t="s">
        <v>267</v>
      </c>
      <c r="D272" s="22" t="s">
        <v>897</v>
      </c>
      <c r="E272" s="21" t="s">
        <v>48</v>
      </c>
      <c r="F272" s="29"/>
      <c r="G272" s="29"/>
      <c r="H272" s="29"/>
      <c r="I272" s="29"/>
      <c r="J272" s="24"/>
      <c r="K272" s="29"/>
      <c r="L272" s="29"/>
      <c r="M272" s="29"/>
      <c r="N272" s="29"/>
      <c r="O272" s="29"/>
      <c r="P272" s="29"/>
      <c r="Q272" s="43" t="s">
        <v>378</v>
      </c>
      <c r="R272" s="29"/>
      <c r="S272" s="29" t="s">
        <v>898</v>
      </c>
      <c r="T272" s="46">
        <v>1500</v>
      </c>
      <c r="U272" s="100">
        <v>44103</v>
      </c>
      <c r="V272" s="100">
        <v>44164</v>
      </c>
      <c r="W272" s="123">
        <v>0</v>
      </c>
    </row>
    <row r="273" spans="1:23" s="25" customFormat="1" ht="165" customHeight="1">
      <c r="A273" s="29" t="s">
        <v>900</v>
      </c>
      <c r="B273" s="29">
        <v>80204250585</v>
      </c>
      <c r="C273" s="21" t="s">
        <v>267</v>
      </c>
      <c r="D273" s="22" t="s">
        <v>912</v>
      </c>
      <c r="E273" s="21" t="s">
        <v>51</v>
      </c>
      <c r="F273" s="29"/>
      <c r="G273" s="29"/>
      <c r="H273" s="29"/>
      <c r="I273" s="29"/>
      <c r="J273" s="24"/>
      <c r="K273" s="29"/>
      <c r="L273" s="29"/>
      <c r="M273" s="29"/>
      <c r="N273" s="29"/>
      <c r="O273" s="29"/>
      <c r="P273" s="29"/>
      <c r="Q273" s="48">
        <v>3269680967</v>
      </c>
      <c r="R273" s="29"/>
      <c r="S273" s="29" t="s">
        <v>901</v>
      </c>
      <c r="T273" s="46">
        <v>270000</v>
      </c>
      <c r="U273" s="100">
        <v>44197</v>
      </c>
      <c r="V273" s="100">
        <v>45291</v>
      </c>
      <c r="W273" s="28">
        <f>5840.54+3715.98-249.17+7899.51+4032.07+6490.95+5632.4+3234.86+10223.74+13923.17+2873.96+140030.52+2994.59-1139.34-94.75+3584.81+15910.77+9250.73+1766.68-264.91-14.22+11899.93+3826.33-7.26+3089.68+18365.23</f>
        <v>272816.79999999993</v>
      </c>
    </row>
    <row r="274" spans="1:23" s="25" customFormat="1" ht="75" customHeight="1">
      <c r="A274" s="29" t="s">
        <v>905</v>
      </c>
      <c r="B274" s="29">
        <v>80204250585</v>
      </c>
      <c r="C274" s="21" t="s">
        <v>267</v>
      </c>
      <c r="D274" s="22" t="s">
        <v>906</v>
      </c>
      <c r="E274" s="21" t="s">
        <v>51</v>
      </c>
      <c r="F274" s="29"/>
      <c r="G274" s="29"/>
      <c r="H274" s="29"/>
      <c r="I274" s="29"/>
      <c r="J274" s="24"/>
      <c r="K274" s="29"/>
      <c r="L274" s="29"/>
      <c r="M274" s="29"/>
      <c r="N274" s="29"/>
      <c r="O274" s="29"/>
      <c r="P274" s="29"/>
      <c r="Q274" s="48" t="s">
        <v>508</v>
      </c>
      <c r="R274" s="29"/>
      <c r="S274" s="29" t="s">
        <v>509</v>
      </c>
      <c r="T274" s="46">
        <v>354</v>
      </c>
      <c r="U274" s="100">
        <v>43998</v>
      </c>
      <c r="V274" s="100">
        <v>43998</v>
      </c>
      <c r="W274" s="28">
        <v>0</v>
      </c>
    </row>
    <row r="275" spans="1:23" s="25" customFormat="1" ht="105" customHeight="1">
      <c r="A275" s="29" t="s">
        <v>909</v>
      </c>
      <c r="B275" s="29">
        <v>80204250585</v>
      </c>
      <c r="C275" s="21" t="s">
        <v>267</v>
      </c>
      <c r="D275" s="22" t="s">
        <v>910</v>
      </c>
      <c r="E275" s="21" t="s">
        <v>36</v>
      </c>
      <c r="F275" s="29"/>
      <c r="G275" s="29"/>
      <c r="H275" s="29"/>
      <c r="I275" s="29"/>
      <c r="J275" s="24"/>
      <c r="K275" s="29"/>
      <c r="L275" s="29"/>
      <c r="M275" s="29"/>
      <c r="N275" s="29"/>
      <c r="O275" s="29"/>
      <c r="P275" s="29"/>
      <c r="Q275" s="29" t="s">
        <v>574</v>
      </c>
      <c r="R275" s="29"/>
      <c r="S275" s="29" t="s">
        <v>911</v>
      </c>
      <c r="T275" s="46">
        <v>566560</v>
      </c>
      <c r="U275" s="100">
        <v>43983</v>
      </c>
      <c r="V275" s="100">
        <v>45443</v>
      </c>
      <c r="W275" s="28">
        <f>111860+111860</f>
        <v>223720</v>
      </c>
    </row>
    <row r="276" spans="1:23" s="25" customFormat="1" ht="45" customHeight="1">
      <c r="A276" s="29" t="s">
        <v>914</v>
      </c>
      <c r="B276" s="29">
        <v>80204250585</v>
      </c>
      <c r="C276" s="21" t="s">
        <v>267</v>
      </c>
      <c r="D276" s="22" t="s">
        <v>915</v>
      </c>
      <c r="E276" s="21" t="s">
        <v>48</v>
      </c>
      <c r="F276" s="29"/>
      <c r="G276" s="29"/>
      <c r="H276" s="29"/>
      <c r="I276" s="29"/>
      <c r="J276" s="24"/>
      <c r="K276" s="29"/>
      <c r="L276" s="29"/>
      <c r="M276" s="29"/>
      <c r="N276" s="29"/>
      <c r="O276" s="29"/>
      <c r="P276" s="29"/>
      <c r="Q276" s="24" t="s">
        <v>177</v>
      </c>
      <c r="R276" s="29"/>
      <c r="S276" s="29" t="s">
        <v>476</v>
      </c>
      <c r="T276" s="46">
        <v>10000</v>
      </c>
      <c r="U276" s="100">
        <v>44105</v>
      </c>
      <c r="V276" s="100">
        <v>44469</v>
      </c>
      <c r="W276" s="28">
        <f>1509+3124+2756+664</f>
        <v>8053</v>
      </c>
    </row>
    <row r="277" spans="1:23" s="25" customFormat="1" ht="30" customHeight="1">
      <c r="A277" s="29" t="s">
        <v>918</v>
      </c>
      <c r="B277" s="29">
        <v>80204250585</v>
      </c>
      <c r="C277" s="21" t="s">
        <v>267</v>
      </c>
      <c r="D277" s="22" t="s">
        <v>917</v>
      </c>
      <c r="E277" s="21" t="s">
        <v>48</v>
      </c>
      <c r="F277" s="29"/>
      <c r="G277" s="29"/>
      <c r="H277" s="29"/>
      <c r="I277" s="29"/>
      <c r="J277" s="24"/>
      <c r="K277" s="29"/>
      <c r="L277" s="29"/>
      <c r="M277" s="29"/>
      <c r="N277" s="29"/>
      <c r="O277" s="29"/>
      <c r="P277" s="29"/>
      <c r="Q277" s="24" t="s">
        <v>929</v>
      </c>
      <c r="S277" s="30" t="s">
        <v>930</v>
      </c>
      <c r="T277" s="28">
        <v>1340.16</v>
      </c>
      <c r="U277" s="100">
        <v>43252</v>
      </c>
      <c r="V277" s="100">
        <v>44926</v>
      </c>
      <c r="W277" s="28">
        <f>0.98+15.98+7.86+8.85+43.77</f>
        <v>77.44</v>
      </c>
    </row>
    <row r="278" spans="1:23" s="25" customFormat="1" ht="30" customHeight="1">
      <c r="A278" s="29" t="s">
        <v>919</v>
      </c>
      <c r="B278" s="29">
        <v>80204250585</v>
      </c>
      <c r="C278" s="21" t="s">
        <v>267</v>
      </c>
      <c r="D278" s="22" t="s">
        <v>920</v>
      </c>
      <c r="E278" s="21" t="s">
        <v>48</v>
      </c>
      <c r="F278" s="29"/>
      <c r="G278" s="29"/>
      <c r="H278" s="29"/>
      <c r="I278" s="29"/>
      <c r="J278" s="24"/>
      <c r="K278" s="29"/>
      <c r="L278" s="29"/>
      <c r="M278" s="29"/>
      <c r="N278" s="29"/>
      <c r="O278" s="29"/>
      <c r="P278" s="29"/>
      <c r="Q278" s="29"/>
      <c r="R278" s="29"/>
      <c r="S278" s="29" t="s">
        <v>921</v>
      </c>
      <c r="T278" s="26">
        <v>37500</v>
      </c>
      <c r="U278" s="100">
        <v>43831</v>
      </c>
      <c r="V278" s="100">
        <v>44926</v>
      </c>
      <c r="W278" s="28">
        <f>715.2+333.37+447.18+355.61+413.44+620.94+483.16+323+353.53+429.23+557.22-39.76+586.64-21.26+641.66+353.51+507.68+194.46+890.21</f>
        <v>8145.02</v>
      </c>
    </row>
    <row r="279" spans="1:23" s="25" customFormat="1" ht="90" customHeight="1">
      <c r="A279" s="30" t="s">
        <v>923</v>
      </c>
      <c r="B279" s="29">
        <v>80204250585</v>
      </c>
      <c r="C279" s="21" t="s">
        <v>83</v>
      </c>
      <c r="D279" s="22" t="s">
        <v>924</v>
      </c>
      <c r="E279" s="21" t="s">
        <v>39</v>
      </c>
      <c r="F279" s="22"/>
      <c r="J279" s="23" t="s">
        <v>925</v>
      </c>
      <c r="L279" s="23" t="s">
        <v>926</v>
      </c>
      <c r="Q279" s="49" t="s">
        <v>90</v>
      </c>
      <c r="S279" s="25" t="s">
        <v>91</v>
      </c>
      <c r="T279" s="26">
        <v>147976.85999999999</v>
      </c>
      <c r="U279" s="100">
        <v>43710</v>
      </c>
      <c r="V279" s="100">
        <v>45170</v>
      </c>
      <c r="W279" s="28">
        <v>0</v>
      </c>
    </row>
    <row r="280" spans="1:23" s="25" customFormat="1" ht="90" customHeight="1">
      <c r="A280" s="25" t="s">
        <v>931</v>
      </c>
      <c r="B280" s="29">
        <v>80204250585</v>
      </c>
      <c r="C280" s="21" t="s">
        <v>83</v>
      </c>
      <c r="D280" s="22" t="s">
        <v>932</v>
      </c>
      <c r="E280" s="21" t="s">
        <v>48</v>
      </c>
      <c r="F280" s="22"/>
      <c r="J280" s="36" t="s">
        <v>933</v>
      </c>
      <c r="L280" s="22" t="s">
        <v>934</v>
      </c>
      <c r="Q280" s="36" t="s">
        <v>933</v>
      </c>
      <c r="S280" s="30" t="s">
        <v>934</v>
      </c>
      <c r="T280" s="28">
        <v>36000</v>
      </c>
      <c r="U280" s="100"/>
      <c r="V280" s="100"/>
      <c r="W280" s="28">
        <v>0</v>
      </c>
    </row>
    <row r="281" spans="1:23" s="25" customFormat="1" ht="90" customHeight="1">
      <c r="A281" s="25" t="s">
        <v>935</v>
      </c>
      <c r="B281" s="29">
        <v>80204250585</v>
      </c>
      <c r="C281" s="21" t="s">
        <v>83</v>
      </c>
      <c r="D281" s="22" t="s">
        <v>936</v>
      </c>
      <c r="E281" s="21" t="s">
        <v>48</v>
      </c>
      <c r="F281" s="22"/>
      <c r="J281" s="23" t="s">
        <v>235</v>
      </c>
      <c r="L281" s="22" t="s">
        <v>937</v>
      </c>
      <c r="Q281" s="24" t="s">
        <v>235</v>
      </c>
      <c r="S281" s="30" t="s">
        <v>937</v>
      </c>
      <c r="T281" s="28">
        <v>14000</v>
      </c>
      <c r="U281" s="100">
        <v>43782</v>
      </c>
      <c r="V281" s="100">
        <v>44512</v>
      </c>
      <c r="W281" s="26">
        <f>7000+7000</f>
        <v>14000</v>
      </c>
    </row>
    <row r="282" spans="1:23" s="25" customFormat="1" ht="120" customHeight="1">
      <c r="A282" s="29" t="s">
        <v>940</v>
      </c>
      <c r="B282" s="29">
        <v>80204250585</v>
      </c>
      <c r="C282" s="21" t="s">
        <v>83</v>
      </c>
      <c r="D282" s="21" t="s">
        <v>577</v>
      </c>
      <c r="E282" s="21" t="s">
        <v>43</v>
      </c>
      <c r="F282" s="29"/>
      <c r="G282" s="29"/>
      <c r="H282" s="29"/>
      <c r="I282" s="29"/>
      <c r="J282" s="23" t="s">
        <v>941</v>
      </c>
      <c r="K282" s="29"/>
      <c r="L282" s="21" t="s">
        <v>942</v>
      </c>
      <c r="M282" s="29"/>
      <c r="N282" s="29"/>
      <c r="O282" s="29"/>
      <c r="P282" s="29"/>
      <c r="Q282" s="24" t="s">
        <v>580</v>
      </c>
      <c r="R282" s="29"/>
      <c r="S282" s="29" t="s">
        <v>943</v>
      </c>
      <c r="T282" s="28">
        <v>120200</v>
      </c>
      <c r="U282" s="100">
        <v>44287</v>
      </c>
      <c r="V282" s="100">
        <v>45382</v>
      </c>
      <c r="W282" s="28">
        <f>367.86+483.27</f>
        <v>851.13</v>
      </c>
    </row>
    <row r="283" spans="1:23" s="25" customFormat="1" ht="120" customHeight="1">
      <c r="A283" s="29" t="s">
        <v>945</v>
      </c>
      <c r="B283" s="29">
        <v>80204250585</v>
      </c>
      <c r="C283" s="21" t="s">
        <v>83</v>
      </c>
      <c r="D283" s="21" t="s">
        <v>946</v>
      </c>
      <c r="E283" s="21" t="s">
        <v>48</v>
      </c>
      <c r="F283" s="29"/>
      <c r="G283" s="29"/>
      <c r="H283" s="29"/>
      <c r="I283" s="29"/>
      <c r="J283" s="24" t="s">
        <v>220</v>
      </c>
      <c r="K283" s="29"/>
      <c r="L283" s="29" t="s">
        <v>275</v>
      </c>
      <c r="M283" s="29"/>
      <c r="N283" s="29"/>
      <c r="O283" s="29"/>
      <c r="P283" s="29"/>
      <c r="Q283" s="24" t="s">
        <v>220</v>
      </c>
      <c r="R283" s="29"/>
      <c r="S283" s="29" t="s">
        <v>275</v>
      </c>
      <c r="T283" s="28">
        <v>9975</v>
      </c>
      <c r="U283" s="100">
        <v>44136</v>
      </c>
      <c r="V283" s="100">
        <v>44316</v>
      </c>
      <c r="W283" s="28">
        <f>2977.5+2977.5</f>
        <v>5955</v>
      </c>
    </row>
    <row r="284" spans="1:23" s="25" customFormat="1" ht="105" customHeight="1">
      <c r="A284" s="29" t="s">
        <v>947</v>
      </c>
      <c r="B284" s="29">
        <v>80204250585</v>
      </c>
      <c r="C284" s="21" t="s">
        <v>83</v>
      </c>
      <c r="D284" s="21" t="s">
        <v>948</v>
      </c>
      <c r="E284" s="21" t="s">
        <v>48</v>
      </c>
      <c r="F284" s="29"/>
      <c r="G284" s="29"/>
      <c r="H284" s="29"/>
      <c r="I284" s="29"/>
      <c r="J284" s="24" t="s">
        <v>754</v>
      </c>
      <c r="K284" s="29"/>
      <c r="L284" s="23" t="s">
        <v>949</v>
      </c>
      <c r="M284" s="29"/>
      <c r="N284" s="29"/>
      <c r="O284" s="29"/>
      <c r="P284" s="29"/>
      <c r="Q284" s="24" t="s">
        <v>754</v>
      </c>
      <c r="R284" s="29"/>
      <c r="S284" s="29" t="s">
        <v>949</v>
      </c>
      <c r="T284" s="28">
        <v>10980</v>
      </c>
      <c r="U284" s="100">
        <v>44136</v>
      </c>
      <c r="V284" s="100">
        <v>44316</v>
      </c>
      <c r="W284" s="28">
        <v>0</v>
      </c>
    </row>
    <row r="285" spans="1:23" s="25" customFormat="1" ht="60" customHeight="1">
      <c r="A285" s="29" t="s">
        <v>952</v>
      </c>
      <c r="B285" s="29">
        <v>80204250585</v>
      </c>
      <c r="C285" s="22" t="s">
        <v>267</v>
      </c>
      <c r="D285" s="22" t="s">
        <v>953</v>
      </c>
      <c r="E285" s="21" t="s">
        <v>39</v>
      </c>
      <c r="F285" s="22"/>
      <c r="G285" s="22"/>
      <c r="H285" s="22"/>
      <c r="I285" s="22"/>
      <c r="J285" s="22"/>
      <c r="K285" s="22"/>
      <c r="L285" s="22"/>
      <c r="M285" s="22"/>
      <c r="N285" s="22"/>
      <c r="O285" s="22"/>
      <c r="P285" s="22"/>
      <c r="Q285" s="22">
        <v>453850588</v>
      </c>
      <c r="R285" s="22"/>
      <c r="S285" s="22" t="s">
        <v>442</v>
      </c>
      <c r="T285" s="39">
        <v>16230</v>
      </c>
      <c r="U285" s="100">
        <v>44197</v>
      </c>
      <c r="V285" s="100">
        <v>44561</v>
      </c>
      <c r="W285" s="28">
        <v>8115</v>
      </c>
    </row>
    <row r="286" spans="1:23" s="25" customFormat="1" ht="120" customHeight="1">
      <c r="A286" s="29" t="s">
        <v>954</v>
      </c>
      <c r="B286" s="29">
        <v>80204250585</v>
      </c>
      <c r="C286" s="22" t="s">
        <v>267</v>
      </c>
      <c r="D286" s="22" t="s">
        <v>955</v>
      </c>
      <c r="E286" s="21" t="s">
        <v>39</v>
      </c>
      <c r="F286" s="22"/>
      <c r="G286" s="22"/>
      <c r="H286" s="22"/>
      <c r="I286" s="22"/>
      <c r="J286" s="22"/>
      <c r="K286" s="22"/>
      <c r="L286" s="22"/>
      <c r="M286" s="22"/>
      <c r="N286" s="22"/>
      <c r="O286" s="22"/>
      <c r="P286" s="22"/>
      <c r="Q286" s="22">
        <v>1603630599</v>
      </c>
      <c r="R286" s="22"/>
      <c r="S286" s="22" t="s">
        <v>956</v>
      </c>
      <c r="T286" s="39">
        <v>252962.62</v>
      </c>
      <c r="U286" s="100">
        <v>44197</v>
      </c>
      <c r="V286" s="100">
        <v>44561</v>
      </c>
      <c r="W286" s="28">
        <f>63240.66+63240.66+63240.66</f>
        <v>189721.98</v>
      </c>
    </row>
    <row r="287" spans="1:23" s="25" customFormat="1" ht="60" customHeight="1">
      <c r="A287" s="29" t="s">
        <v>957</v>
      </c>
      <c r="B287" s="29">
        <v>80204250585</v>
      </c>
      <c r="C287" s="22" t="s">
        <v>267</v>
      </c>
      <c r="D287" s="22" t="s">
        <v>958</v>
      </c>
      <c r="E287" s="21" t="s">
        <v>39</v>
      </c>
      <c r="F287" s="22"/>
      <c r="G287" s="22"/>
      <c r="H287" s="22"/>
      <c r="I287" s="22"/>
      <c r="J287" s="22"/>
      <c r="K287" s="22"/>
      <c r="L287" s="22"/>
      <c r="M287" s="22"/>
      <c r="N287" s="22"/>
      <c r="O287" s="22"/>
      <c r="P287" s="22"/>
      <c r="Q287" s="22">
        <v>2313821007</v>
      </c>
      <c r="R287" s="22"/>
      <c r="S287" s="22" t="s">
        <v>640</v>
      </c>
      <c r="T287" s="39">
        <v>18000</v>
      </c>
      <c r="U287" s="100">
        <v>44197</v>
      </c>
      <c r="V287" s="100">
        <v>44561</v>
      </c>
      <c r="W287" s="28">
        <v>5000</v>
      </c>
    </row>
    <row r="288" spans="1:23" s="25" customFormat="1" ht="60" customHeight="1">
      <c r="A288" s="29" t="s">
        <v>959</v>
      </c>
      <c r="B288" s="29">
        <v>80204250585</v>
      </c>
      <c r="C288" s="22" t="s">
        <v>267</v>
      </c>
      <c r="D288" s="22" t="s">
        <v>960</v>
      </c>
      <c r="E288" s="21" t="s">
        <v>39</v>
      </c>
      <c r="F288" s="22"/>
      <c r="G288" s="22"/>
      <c r="H288" s="22"/>
      <c r="I288" s="22"/>
      <c r="J288" s="22"/>
      <c r="K288" s="22"/>
      <c r="L288" s="22"/>
      <c r="M288" s="22"/>
      <c r="N288" s="22"/>
      <c r="O288" s="22"/>
      <c r="P288" s="22"/>
      <c r="Q288" s="22">
        <v>13211660157</v>
      </c>
      <c r="R288" s="22"/>
      <c r="S288" s="22" t="s">
        <v>436</v>
      </c>
      <c r="T288" s="39">
        <v>12000</v>
      </c>
      <c r="U288" s="100">
        <v>44197</v>
      </c>
      <c r="V288" s="100">
        <v>44561</v>
      </c>
      <c r="W288" s="28">
        <f>3000+(3000*2)</f>
        <v>9000</v>
      </c>
    </row>
    <row r="289" spans="1:23" s="25" customFormat="1" ht="120" customHeight="1">
      <c r="A289" s="29" t="s">
        <v>961</v>
      </c>
      <c r="B289" s="29">
        <v>80204250585</v>
      </c>
      <c r="C289" s="22" t="s">
        <v>267</v>
      </c>
      <c r="D289" s="22" t="s">
        <v>1055</v>
      </c>
      <c r="E289" s="22" t="s">
        <v>51</v>
      </c>
      <c r="F289" s="22"/>
      <c r="G289" s="22"/>
      <c r="H289" s="22"/>
      <c r="I289" s="22"/>
      <c r="J289" s="22">
        <v>488410010</v>
      </c>
      <c r="K289" s="22"/>
      <c r="L289" s="22" t="s">
        <v>962</v>
      </c>
      <c r="M289" s="22"/>
      <c r="N289" s="22"/>
      <c r="O289" s="22"/>
      <c r="P289" s="22"/>
      <c r="Q289" s="22">
        <v>488410010</v>
      </c>
      <c r="R289" s="22"/>
      <c r="S289" s="22" t="s">
        <v>962</v>
      </c>
      <c r="T289" s="39">
        <v>39690.720000000001</v>
      </c>
      <c r="U289" s="100">
        <v>44197</v>
      </c>
      <c r="V289" s="100">
        <v>44742</v>
      </c>
      <c r="W289" s="28">
        <f>8731.95+39690.72</f>
        <v>48422.67</v>
      </c>
    </row>
    <row r="290" spans="1:23" s="25" customFormat="1" ht="60" customHeight="1">
      <c r="A290" s="29" t="s">
        <v>963</v>
      </c>
      <c r="B290" s="29">
        <v>80204250585</v>
      </c>
      <c r="C290" s="22" t="s">
        <v>267</v>
      </c>
      <c r="D290" s="22" t="s">
        <v>964</v>
      </c>
      <c r="E290" s="21" t="s">
        <v>39</v>
      </c>
      <c r="F290" s="22"/>
      <c r="G290" s="22"/>
      <c r="H290" s="22"/>
      <c r="I290" s="22"/>
      <c r="J290" s="22"/>
      <c r="K290" s="22"/>
      <c r="L290" s="22"/>
      <c r="M290" s="22"/>
      <c r="N290" s="22"/>
      <c r="O290" s="22"/>
      <c r="P290" s="22"/>
      <c r="Q290" s="22">
        <v>13014760154</v>
      </c>
      <c r="R290" s="22"/>
      <c r="S290" s="22" t="s">
        <v>268</v>
      </c>
      <c r="T290" s="39">
        <v>41395.519999999997</v>
      </c>
      <c r="U290" s="100">
        <v>44197</v>
      </c>
      <c r="V290" s="100">
        <v>44926</v>
      </c>
      <c r="W290" s="28">
        <f>5174.44+5174.44</f>
        <v>10348.879999999999</v>
      </c>
    </row>
    <row r="291" spans="1:23" s="25" customFormat="1" ht="45" customHeight="1">
      <c r="A291" s="29" t="s">
        <v>965</v>
      </c>
      <c r="B291" s="29">
        <v>80204250585</v>
      </c>
      <c r="C291" s="22" t="s">
        <v>267</v>
      </c>
      <c r="D291" s="22" t="s">
        <v>1010</v>
      </c>
      <c r="E291" s="21" t="s">
        <v>39</v>
      </c>
      <c r="F291" s="22"/>
      <c r="G291" s="22"/>
      <c r="H291" s="22"/>
      <c r="I291" s="22"/>
      <c r="J291" s="22"/>
      <c r="K291" s="22"/>
      <c r="L291" s="22"/>
      <c r="M291" s="22"/>
      <c r="N291" s="22"/>
      <c r="O291" s="22"/>
      <c r="P291" s="22"/>
      <c r="Q291" s="22">
        <v>10100001006</v>
      </c>
      <c r="R291" s="22"/>
      <c r="S291" s="22" t="s">
        <v>439</v>
      </c>
      <c r="T291" s="39">
        <v>18600</v>
      </c>
      <c r="U291" s="100">
        <v>44197</v>
      </c>
      <c r="V291" s="100">
        <v>44561</v>
      </c>
      <c r="W291" s="28">
        <f>4650+4650+4650</f>
        <v>13950</v>
      </c>
    </row>
    <row r="292" spans="1:23" s="25" customFormat="1" ht="45" customHeight="1">
      <c r="A292" s="29" t="s">
        <v>966</v>
      </c>
      <c r="B292" s="29">
        <v>80204250585</v>
      </c>
      <c r="C292" s="22" t="s">
        <v>267</v>
      </c>
      <c r="D292" s="22" t="s">
        <v>1009</v>
      </c>
      <c r="E292" s="21" t="s">
        <v>39</v>
      </c>
      <c r="F292" s="22"/>
      <c r="G292" s="22"/>
      <c r="H292" s="22"/>
      <c r="I292" s="22"/>
      <c r="J292" s="22"/>
      <c r="K292" s="22"/>
      <c r="L292" s="22"/>
      <c r="M292" s="22"/>
      <c r="N292" s="22"/>
      <c r="O292" s="22"/>
      <c r="P292" s="22"/>
      <c r="Q292" s="22">
        <v>10100001006</v>
      </c>
      <c r="R292" s="22"/>
      <c r="S292" s="22" t="s">
        <v>439</v>
      </c>
      <c r="T292" s="39">
        <v>13400</v>
      </c>
      <c r="U292" s="100">
        <v>44197</v>
      </c>
      <c r="V292" s="100">
        <v>44561</v>
      </c>
      <c r="W292" s="28">
        <f>3350+3350+3350</f>
        <v>10050</v>
      </c>
    </row>
    <row r="293" spans="1:23" s="25" customFormat="1" ht="45" customHeight="1">
      <c r="A293" s="29" t="s">
        <v>967</v>
      </c>
      <c r="B293" s="29">
        <v>80204250585</v>
      </c>
      <c r="C293" s="22" t="s">
        <v>267</v>
      </c>
      <c r="D293" s="22" t="s">
        <v>968</v>
      </c>
      <c r="E293" s="21" t="s">
        <v>39</v>
      </c>
      <c r="F293" s="22"/>
      <c r="G293" s="22"/>
      <c r="H293" s="22"/>
      <c r="I293" s="22"/>
      <c r="J293" s="22"/>
      <c r="K293" s="22"/>
      <c r="L293" s="22"/>
      <c r="M293" s="22"/>
      <c r="N293" s="22"/>
      <c r="O293" s="22"/>
      <c r="P293" s="22"/>
      <c r="Q293" s="22">
        <v>391130580</v>
      </c>
      <c r="R293" s="22"/>
      <c r="S293" s="22" t="s">
        <v>443</v>
      </c>
      <c r="T293" s="39">
        <v>35870.43</v>
      </c>
      <c r="U293" s="100">
        <v>44197</v>
      </c>
      <c r="V293" s="100">
        <v>44561</v>
      </c>
      <c r="W293" s="28">
        <f>17395.22+379.5</f>
        <v>17774.72</v>
      </c>
    </row>
    <row r="294" spans="1:23" s="25" customFormat="1" ht="90" customHeight="1">
      <c r="A294" s="29" t="s">
        <v>969</v>
      </c>
      <c r="B294" s="29">
        <v>80204250585</v>
      </c>
      <c r="C294" s="22" t="s">
        <v>267</v>
      </c>
      <c r="D294" s="22" t="s">
        <v>970</v>
      </c>
      <c r="E294" s="21" t="s">
        <v>39</v>
      </c>
      <c r="F294" s="22"/>
      <c r="G294" s="22"/>
      <c r="H294" s="22"/>
      <c r="I294" s="22"/>
      <c r="J294" s="22"/>
      <c r="K294" s="22"/>
      <c r="L294" s="22"/>
      <c r="M294" s="22"/>
      <c r="N294" s="22"/>
      <c r="O294" s="22"/>
      <c r="P294" s="22"/>
      <c r="Q294" s="22">
        <v>6566820152</v>
      </c>
      <c r="R294" s="22"/>
      <c r="S294" s="22" t="s">
        <v>269</v>
      </c>
      <c r="T294" s="39">
        <v>19912.66</v>
      </c>
      <c r="U294" s="100">
        <v>44197</v>
      </c>
      <c r="V294" s="100">
        <v>44926</v>
      </c>
      <c r="W294" s="28">
        <f>534+(809.1*2)+(809.1*3)+(809.1*3)+(809.1*3)</f>
        <v>9434.1</v>
      </c>
    </row>
    <row r="295" spans="1:23" s="25" customFormat="1" ht="45" customHeight="1">
      <c r="A295" s="29" t="s">
        <v>971</v>
      </c>
      <c r="B295" s="29">
        <v>80204250585</v>
      </c>
      <c r="C295" s="22" t="s">
        <v>267</v>
      </c>
      <c r="D295" s="22" t="s">
        <v>972</v>
      </c>
      <c r="E295" s="21" t="s">
        <v>39</v>
      </c>
      <c r="F295" s="22"/>
      <c r="G295" s="22"/>
      <c r="H295" s="22"/>
      <c r="I295" s="22"/>
      <c r="J295" s="22"/>
      <c r="K295" s="22"/>
      <c r="L295" s="22"/>
      <c r="M295" s="22"/>
      <c r="N295" s="22"/>
      <c r="O295" s="22"/>
      <c r="P295" s="22"/>
      <c r="Q295" s="44" t="s">
        <v>1319</v>
      </c>
      <c r="R295" s="22"/>
      <c r="S295" s="22" t="s">
        <v>760</v>
      </c>
      <c r="T295" s="39">
        <v>319332</v>
      </c>
      <c r="U295" s="100">
        <v>44197</v>
      </c>
      <c r="V295" s="100">
        <v>44561</v>
      </c>
      <c r="W295" s="28">
        <f>42033+37800+75600+84066</f>
        <v>239499</v>
      </c>
    </row>
    <row r="296" spans="1:23" s="25" customFormat="1" ht="45" customHeight="1">
      <c r="A296" s="29" t="s">
        <v>973</v>
      </c>
      <c r="B296" s="29">
        <v>80204250585</v>
      </c>
      <c r="C296" s="22" t="s">
        <v>267</v>
      </c>
      <c r="D296" s="22" t="s">
        <v>974</v>
      </c>
      <c r="E296" s="21" t="s">
        <v>39</v>
      </c>
      <c r="F296" s="22"/>
      <c r="G296" s="22"/>
      <c r="H296" s="22"/>
      <c r="I296" s="22"/>
      <c r="J296" s="22"/>
      <c r="K296" s="22"/>
      <c r="L296" s="22"/>
      <c r="M296" s="22"/>
      <c r="N296" s="22"/>
      <c r="O296" s="22"/>
      <c r="P296" s="22"/>
      <c r="Q296" s="22">
        <v>7201450587</v>
      </c>
      <c r="R296" s="22"/>
      <c r="S296" s="22" t="s">
        <v>975</v>
      </c>
      <c r="T296" s="39">
        <v>30000</v>
      </c>
      <c r="U296" s="100">
        <v>44197</v>
      </c>
      <c r="V296" s="100">
        <v>44561</v>
      </c>
      <c r="W296" s="28">
        <v>0</v>
      </c>
    </row>
    <row r="297" spans="1:23" s="25" customFormat="1" ht="90" customHeight="1">
      <c r="A297" s="29" t="s">
        <v>976</v>
      </c>
      <c r="B297" s="29">
        <v>80204250585</v>
      </c>
      <c r="C297" s="22" t="s">
        <v>267</v>
      </c>
      <c r="D297" s="22" t="s">
        <v>977</v>
      </c>
      <c r="E297" s="21" t="s">
        <v>38</v>
      </c>
      <c r="F297" s="22"/>
      <c r="G297" s="22"/>
      <c r="H297" s="22"/>
      <c r="I297" s="22"/>
      <c r="J297" s="22" t="s">
        <v>978</v>
      </c>
      <c r="K297" s="22"/>
      <c r="L297" s="22" t="s">
        <v>979</v>
      </c>
      <c r="M297" s="22"/>
      <c r="N297" s="22"/>
      <c r="O297" s="22"/>
      <c r="P297" s="22"/>
      <c r="Q297" s="22">
        <v>4472901000</v>
      </c>
      <c r="R297" s="22"/>
      <c r="S297" s="22" t="s">
        <v>980</v>
      </c>
      <c r="T297" s="39">
        <v>161366.31</v>
      </c>
      <c r="U297" s="100">
        <v>44197</v>
      </c>
      <c r="V297" s="100">
        <v>45657</v>
      </c>
      <c r="W297" s="28">
        <f>2375+4224.46+5212.37</f>
        <v>11811.83</v>
      </c>
    </row>
    <row r="298" spans="1:23" s="25" customFormat="1" ht="60" customHeight="1">
      <c r="A298" s="29" t="s">
        <v>981</v>
      </c>
      <c r="B298" s="29">
        <v>80204250585</v>
      </c>
      <c r="C298" s="22" t="s">
        <v>267</v>
      </c>
      <c r="D298" s="22" t="s">
        <v>982</v>
      </c>
      <c r="E298" s="21" t="s">
        <v>39</v>
      </c>
      <c r="F298" s="22"/>
      <c r="G298" s="22"/>
      <c r="H298" s="22"/>
      <c r="I298" s="22"/>
      <c r="J298" s="22"/>
      <c r="K298" s="22"/>
      <c r="L298" s="22"/>
      <c r="M298" s="22"/>
      <c r="N298" s="22"/>
      <c r="O298" s="22"/>
      <c r="P298" s="22"/>
      <c r="Q298" s="22">
        <v>777910159</v>
      </c>
      <c r="R298" s="22"/>
      <c r="S298" s="22" t="s">
        <v>444</v>
      </c>
      <c r="T298" s="39">
        <v>65000</v>
      </c>
      <c r="U298" s="100">
        <v>44197</v>
      </c>
      <c r="V298" s="100">
        <v>44561</v>
      </c>
      <c r="W298" s="28">
        <f>650+16168.75+16168.75+16168.75</f>
        <v>49156.25</v>
      </c>
    </row>
    <row r="299" spans="1:23" s="25" customFormat="1" ht="60" customHeight="1">
      <c r="A299" s="29" t="s">
        <v>983</v>
      </c>
      <c r="B299" s="29">
        <v>80204250585</v>
      </c>
      <c r="C299" s="22" t="s">
        <v>267</v>
      </c>
      <c r="D299" s="22" t="s">
        <v>984</v>
      </c>
      <c r="E299" s="21" t="s">
        <v>48</v>
      </c>
      <c r="F299" s="22"/>
      <c r="G299" s="22"/>
      <c r="H299" s="22"/>
      <c r="I299" s="22"/>
      <c r="J299" s="22"/>
      <c r="K299" s="22"/>
      <c r="L299" s="22"/>
      <c r="M299" s="22"/>
      <c r="N299" s="22"/>
      <c r="O299" s="22"/>
      <c r="P299" s="22"/>
      <c r="Q299" s="22"/>
      <c r="R299" s="22"/>
      <c r="S299" s="22" t="s">
        <v>426</v>
      </c>
      <c r="T299" s="39">
        <v>40500</v>
      </c>
      <c r="U299" s="100">
        <v>44197</v>
      </c>
      <c r="V299" s="100">
        <v>44561</v>
      </c>
      <c r="W299" s="28">
        <v>0</v>
      </c>
    </row>
    <row r="300" spans="1:23" s="25" customFormat="1" ht="60" customHeight="1">
      <c r="A300" s="29" t="s">
        <v>985</v>
      </c>
      <c r="B300" s="29">
        <v>80204250585</v>
      </c>
      <c r="C300" s="22" t="s">
        <v>267</v>
      </c>
      <c r="D300" s="22" t="s">
        <v>1484</v>
      </c>
      <c r="E300" s="21" t="s">
        <v>39</v>
      </c>
      <c r="F300" s="22"/>
      <c r="G300" s="22"/>
      <c r="H300" s="22"/>
      <c r="I300" s="22"/>
      <c r="J300" s="22"/>
      <c r="K300" s="22"/>
      <c r="L300" s="22"/>
      <c r="M300" s="22"/>
      <c r="N300" s="22"/>
      <c r="O300" s="22"/>
      <c r="P300" s="22"/>
      <c r="Q300" s="22"/>
      <c r="R300" s="22"/>
      <c r="S300" s="22" t="s">
        <v>422</v>
      </c>
      <c r="T300" s="39">
        <v>35400</v>
      </c>
      <c r="U300" s="100">
        <v>44197</v>
      </c>
      <c r="V300" s="100">
        <v>44926</v>
      </c>
      <c r="W300" s="28">
        <v>0</v>
      </c>
    </row>
    <row r="301" spans="1:23" s="25" customFormat="1" ht="60" customHeight="1">
      <c r="A301" s="29" t="s">
        <v>986</v>
      </c>
      <c r="B301" s="29">
        <v>80204250585</v>
      </c>
      <c r="C301" s="22" t="s">
        <v>267</v>
      </c>
      <c r="D301" s="22" t="s">
        <v>987</v>
      </c>
      <c r="E301" s="21" t="s">
        <v>48</v>
      </c>
      <c r="F301" s="22"/>
      <c r="G301" s="22"/>
      <c r="H301" s="22"/>
      <c r="I301" s="22"/>
      <c r="J301" s="22">
        <v>1765930589</v>
      </c>
      <c r="K301" s="22"/>
      <c r="L301" s="22" t="s">
        <v>869</v>
      </c>
      <c r="M301" s="22"/>
      <c r="N301" s="22"/>
      <c r="O301" s="22"/>
      <c r="P301" s="22"/>
      <c r="Q301" s="22">
        <v>1765930589</v>
      </c>
      <c r="R301" s="22"/>
      <c r="S301" s="22" t="s">
        <v>869</v>
      </c>
      <c r="T301" s="39">
        <v>8640</v>
      </c>
      <c r="U301" s="100">
        <v>44197</v>
      </c>
      <c r="V301" s="100">
        <v>44377</v>
      </c>
      <c r="W301" s="28">
        <v>0</v>
      </c>
    </row>
    <row r="302" spans="1:23" s="25" customFormat="1" ht="75" customHeight="1">
      <c r="A302" s="29" t="s">
        <v>988</v>
      </c>
      <c r="B302" s="29">
        <v>80204250585</v>
      </c>
      <c r="C302" s="22" t="s">
        <v>267</v>
      </c>
      <c r="D302" s="22" t="s">
        <v>989</v>
      </c>
      <c r="E302" s="21" t="s">
        <v>38</v>
      </c>
      <c r="F302" s="22"/>
      <c r="G302" s="22"/>
      <c r="H302" s="22"/>
      <c r="I302" s="22"/>
      <c r="J302" s="22">
        <v>11673301005</v>
      </c>
      <c r="K302" s="22"/>
      <c r="L302" s="22" t="s">
        <v>183</v>
      </c>
      <c r="M302" s="22"/>
      <c r="N302" s="22"/>
      <c r="O302" s="22"/>
      <c r="P302" s="22"/>
      <c r="Q302" s="22">
        <v>11673301005</v>
      </c>
      <c r="R302" s="22"/>
      <c r="S302" s="22" t="s">
        <v>183</v>
      </c>
      <c r="T302" s="39">
        <v>124900</v>
      </c>
      <c r="U302" s="100">
        <v>44197</v>
      </c>
      <c r="V302" s="100">
        <v>44561</v>
      </c>
      <c r="W302" s="28">
        <f>31225+31225+31225</f>
        <v>93675</v>
      </c>
    </row>
    <row r="303" spans="1:23" s="25" customFormat="1" ht="60" customHeight="1">
      <c r="A303" s="29" t="s">
        <v>990</v>
      </c>
      <c r="B303" s="29">
        <v>80204250585</v>
      </c>
      <c r="C303" s="22" t="s">
        <v>267</v>
      </c>
      <c r="D303" s="22" t="s">
        <v>991</v>
      </c>
      <c r="E303" s="21" t="s">
        <v>48</v>
      </c>
      <c r="F303" s="22"/>
      <c r="G303" s="22"/>
      <c r="H303" s="22"/>
      <c r="I303" s="22"/>
      <c r="J303" s="22"/>
      <c r="K303" s="22"/>
      <c r="L303" s="22"/>
      <c r="M303" s="22"/>
      <c r="N303" s="22"/>
      <c r="O303" s="22"/>
      <c r="P303" s="22"/>
      <c r="Q303" s="22"/>
      <c r="R303" s="22"/>
      <c r="S303" s="22" t="s">
        <v>992</v>
      </c>
      <c r="T303" s="39">
        <v>11000</v>
      </c>
      <c r="U303" s="100">
        <v>44255</v>
      </c>
      <c r="V303" s="100">
        <v>45349</v>
      </c>
      <c r="W303" s="28">
        <v>0</v>
      </c>
    </row>
    <row r="304" spans="1:23" s="25" customFormat="1" ht="45" customHeight="1">
      <c r="A304" s="29" t="s">
        <v>993</v>
      </c>
      <c r="B304" s="29">
        <v>80204250585</v>
      </c>
      <c r="C304" s="22" t="s">
        <v>267</v>
      </c>
      <c r="D304" s="22" t="s">
        <v>994</v>
      </c>
      <c r="E304" s="21" t="s">
        <v>39</v>
      </c>
      <c r="F304" s="22"/>
      <c r="G304" s="22"/>
      <c r="H304" s="22"/>
      <c r="I304" s="22"/>
      <c r="J304" s="22"/>
      <c r="K304" s="22"/>
      <c r="L304" s="22"/>
      <c r="M304" s="22"/>
      <c r="N304" s="22"/>
      <c r="O304" s="22"/>
      <c r="P304" s="22"/>
      <c r="Q304" s="22">
        <v>11139860156</v>
      </c>
      <c r="R304" s="22"/>
      <c r="S304" s="22" t="s">
        <v>434</v>
      </c>
      <c r="T304" s="39">
        <v>43890</v>
      </c>
      <c r="U304" s="100">
        <v>44197</v>
      </c>
      <c r="V304" s="100">
        <v>44561</v>
      </c>
      <c r="W304" s="28">
        <v>43890</v>
      </c>
    </row>
    <row r="305" spans="1:23" s="25" customFormat="1" ht="45" customHeight="1">
      <c r="A305" s="29" t="s">
        <v>995</v>
      </c>
      <c r="B305" s="29">
        <v>80204250585</v>
      </c>
      <c r="C305" s="22" t="s">
        <v>267</v>
      </c>
      <c r="D305" s="22" t="s">
        <v>996</v>
      </c>
      <c r="E305" s="21" t="s">
        <v>39</v>
      </c>
      <c r="F305" s="22"/>
      <c r="G305" s="22"/>
      <c r="H305" s="22"/>
      <c r="I305" s="22"/>
      <c r="J305" s="22"/>
      <c r="K305" s="22"/>
      <c r="L305" s="22"/>
      <c r="M305" s="22"/>
      <c r="N305" s="22"/>
      <c r="O305" s="22"/>
      <c r="P305" s="22"/>
      <c r="Q305" s="22">
        <v>1739090460</v>
      </c>
      <c r="R305" s="22"/>
      <c r="S305" s="22" t="s">
        <v>435</v>
      </c>
      <c r="T305" s="39">
        <v>5500</v>
      </c>
      <c r="U305" s="100">
        <v>44197</v>
      </c>
      <c r="V305" s="100">
        <v>44561</v>
      </c>
      <c r="W305" s="28">
        <f>1375+1375+1375</f>
        <v>4125</v>
      </c>
    </row>
    <row r="306" spans="1:23" s="25" customFormat="1" ht="60" customHeight="1">
      <c r="A306" s="29" t="s">
        <v>997</v>
      </c>
      <c r="B306" s="29">
        <v>80204250585</v>
      </c>
      <c r="C306" s="22" t="s">
        <v>267</v>
      </c>
      <c r="D306" s="22" t="s">
        <v>998</v>
      </c>
      <c r="E306" s="21" t="s">
        <v>39</v>
      </c>
      <c r="F306" s="22"/>
      <c r="G306" s="22"/>
      <c r="H306" s="22"/>
      <c r="I306" s="22"/>
      <c r="J306" s="22"/>
      <c r="K306" s="22"/>
      <c r="L306" s="22"/>
      <c r="M306" s="22"/>
      <c r="N306" s="22"/>
      <c r="O306" s="22"/>
      <c r="P306" s="22"/>
      <c r="Q306" s="22">
        <v>10295850969</v>
      </c>
      <c r="R306" s="22"/>
      <c r="S306" s="22" t="s">
        <v>429</v>
      </c>
      <c r="T306" s="39">
        <v>17300</v>
      </c>
      <c r="U306" s="100">
        <v>44197</v>
      </c>
      <c r="V306" s="100">
        <v>44561</v>
      </c>
      <c r="W306" s="28">
        <v>0</v>
      </c>
    </row>
    <row r="307" spans="1:23" s="25" customFormat="1" ht="45" customHeight="1">
      <c r="A307" s="29" t="s">
        <v>999</v>
      </c>
      <c r="B307" s="29">
        <v>80204250585</v>
      </c>
      <c r="C307" s="22" t="s">
        <v>267</v>
      </c>
      <c r="D307" s="22" t="s">
        <v>1000</v>
      </c>
      <c r="E307" s="21" t="s">
        <v>39</v>
      </c>
      <c r="F307" s="22"/>
      <c r="G307" s="22"/>
      <c r="H307" s="22"/>
      <c r="I307" s="22"/>
      <c r="J307" s="22"/>
      <c r="K307" s="22"/>
      <c r="L307" s="22"/>
      <c r="M307" s="22"/>
      <c r="N307" s="22"/>
      <c r="O307" s="22"/>
      <c r="P307" s="22"/>
      <c r="Q307" s="22">
        <v>10295850969</v>
      </c>
      <c r="R307" s="22"/>
      <c r="S307" s="22" t="s">
        <v>429</v>
      </c>
      <c r="T307" s="39">
        <v>34200</v>
      </c>
      <c r="U307" s="100">
        <v>44197</v>
      </c>
      <c r="V307" s="100">
        <v>44561</v>
      </c>
      <c r="W307" s="28">
        <v>0</v>
      </c>
    </row>
    <row r="308" spans="1:23" s="25" customFormat="1" ht="45" customHeight="1">
      <c r="A308" s="29" t="s">
        <v>1001</v>
      </c>
      <c r="B308" s="29">
        <v>80204250585</v>
      </c>
      <c r="C308" s="22" t="s">
        <v>267</v>
      </c>
      <c r="D308" s="22" t="s">
        <v>1002</v>
      </c>
      <c r="E308" s="21" t="s">
        <v>48</v>
      </c>
      <c r="F308" s="22"/>
      <c r="G308" s="22"/>
      <c r="H308" s="22"/>
      <c r="I308" s="22"/>
      <c r="J308" s="22"/>
      <c r="K308" s="22"/>
      <c r="L308" s="22"/>
      <c r="M308" s="22"/>
      <c r="N308" s="22"/>
      <c r="O308" s="22"/>
      <c r="P308" s="22"/>
      <c r="Q308" s="22">
        <v>10556200961</v>
      </c>
      <c r="R308" s="22"/>
      <c r="S308" s="22" t="s">
        <v>438</v>
      </c>
      <c r="T308" s="39">
        <v>39000</v>
      </c>
      <c r="U308" s="100">
        <v>44197</v>
      </c>
      <c r="V308" s="100">
        <v>44561</v>
      </c>
      <c r="W308" s="28">
        <f>(9750*2)+9750</f>
        <v>29250</v>
      </c>
    </row>
    <row r="309" spans="1:23" s="25" customFormat="1" ht="45" customHeight="1">
      <c r="A309" s="29" t="s">
        <v>1003</v>
      </c>
      <c r="B309" s="29">
        <v>80204250585</v>
      </c>
      <c r="C309" s="22" t="s">
        <v>267</v>
      </c>
      <c r="D309" s="22" t="s">
        <v>1004</v>
      </c>
      <c r="E309" s="21" t="s">
        <v>48</v>
      </c>
      <c r="F309" s="22"/>
      <c r="G309" s="22"/>
      <c r="H309" s="22"/>
      <c r="I309" s="22"/>
      <c r="J309" s="22"/>
      <c r="K309" s="22"/>
      <c r="L309" s="22"/>
      <c r="M309" s="22"/>
      <c r="N309" s="22"/>
      <c r="O309" s="22"/>
      <c r="P309" s="22"/>
      <c r="Q309" s="22">
        <v>10556200961</v>
      </c>
      <c r="R309" s="22"/>
      <c r="S309" s="22" t="s">
        <v>438</v>
      </c>
      <c r="T309" s="39">
        <v>10600</v>
      </c>
      <c r="U309" s="100">
        <v>44197</v>
      </c>
      <c r="V309" s="100">
        <v>44561</v>
      </c>
      <c r="W309" s="28">
        <f>(2650*2)+2650</f>
        <v>7950</v>
      </c>
    </row>
    <row r="310" spans="1:23" s="25" customFormat="1" ht="45" customHeight="1">
      <c r="A310" s="29" t="s">
        <v>1005</v>
      </c>
      <c r="B310" s="29">
        <v>80204250585</v>
      </c>
      <c r="C310" s="22" t="s">
        <v>267</v>
      </c>
      <c r="D310" s="22" t="s">
        <v>1006</v>
      </c>
      <c r="E310" s="21" t="s">
        <v>48</v>
      </c>
      <c r="F310" s="22"/>
      <c r="G310" s="22"/>
      <c r="H310" s="22"/>
      <c r="I310" s="22"/>
      <c r="J310" s="22"/>
      <c r="K310" s="22"/>
      <c r="L310" s="22"/>
      <c r="M310" s="22"/>
      <c r="N310" s="22"/>
      <c r="O310" s="22"/>
      <c r="P310" s="22"/>
      <c r="Q310" s="22"/>
      <c r="R310" s="22"/>
      <c r="S310" s="22" t="s">
        <v>653</v>
      </c>
      <c r="T310" s="39">
        <v>10000</v>
      </c>
      <c r="U310" s="100">
        <v>44197</v>
      </c>
      <c r="V310" s="100">
        <v>44561</v>
      </c>
      <c r="W310" s="28">
        <v>10000</v>
      </c>
    </row>
    <row r="311" spans="1:23" s="25" customFormat="1" ht="75" customHeight="1">
      <c r="A311" s="29" t="s">
        <v>1007</v>
      </c>
      <c r="B311" s="29">
        <v>80204250585</v>
      </c>
      <c r="C311" s="22" t="s">
        <v>267</v>
      </c>
      <c r="D311" s="22" t="s">
        <v>1008</v>
      </c>
      <c r="E311" s="21" t="s">
        <v>48</v>
      </c>
      <c r="F311" s="22"/>
      <c r="G311" s="22"/>
      <c r="H311" s="22"/>
      <c r="I311" s="22"/>
      <c r="J311" s="22"/>
      <c r="K311" s="22"/>
      <c r="L311" s="22"/>
      <c r="M311" s="22"/>
      <c r="N311" s="22"/>
      <c r="O311" s="22"/>
      <c r="P311" s="22"/>
      <c r="Q311" s="22"/>
      <c r="R311" s="22"/>
      <c r="S311" s="22" t="s">
        <v>653</v>
      </c>
      <c r="T311" s="39">
        <v>5000</v>
      </c>
      <c r="U311" s="100">
        <v>44197</v>
      </c>
      <c r="V311" s="100">
        <v>44561</v>
      </c>
      <c r="W311" s="28">
        <v>5000</v>
      </c>
    </row>
    <row r="312" spans="1:23" s="25" customFormat="1" ht="75" customHeight="1">
      <c r="A312" s="29" t="s">
        <v>1083</v>
      </c>
      <c r="B312" s="29">
        <v>80204250585</v>
      </c>
      <c r="C312" s="22" t="s">
        <v>267</v>
      </c>
      <c r="D312" s="22" t="s">
        <v>1084</v>
      </c>
      <c r="E312" s="21" t="s">
        <v>48</v>
      </c>
      <c r="F312" s="29"/>
      <c r="G312" s="29"/>
      <c r="H312" s="29"/>
      <c r="I312" s="29"/>
      <c r="J312" s="24"/>
      <c r="K312" s="29"/>
      <c r="L312" s="29"/>
      <c r="M312" s="29"/>
      <c r="N312" s="29"/>
      <c r="O312" s="29"/>
      <c r="P312" s="29"/>
      <c r="Q312" s="37" t="s">
        <v>889</v>
      </c>
      <c r="R312" s="29"/>
      <c r="S312" s="33" t="s">
        <v>873</v>
      </c>
      <c r="T312" s="26">
        <v>5000</v>
      </c>
      <c r="U312" s="100">
        <v>44165</v>
      </c>
      <c r="V312" s="100">
        <v>44195</v>
      </c>
      <c r="W312" s="28">
        <v>3000</v>
      </c>
    </row>
    <row r="313" spans="1:23" s="25" customFormat="1" ht="60" customHeight="1">
      <c r="A313" s="29" t="s">
        <v>1011</v>
      </c>
      <c r="B313" s="29">
        <v>80204250585</v>
      </c>
      <c r="C313" s="22" t="s">
        <v>267</v>
      </c>
      <c r="D313" s="22" t="s">
        <v>1012</v>
      </c>
      <c r="E313" s="21" t="s">
        <v>48</v>
      </c>
      <c r="F313" s="29"/>
      <c r="G313" s="29"/>
      <c r="H313" s="29"/>
      <c r="I313" s="29"/>
      <c r="J313" s="24"/>
      <c r="K313" s="29"/>
      <c r="L313" s="29"/>
      <c r="M313" s="29"/>
      <c r="N313" s="29"/>
      <c r="O313" s="29"/>
      <c r="P313" s="29"/>
      <c r="Q313" s="37" t="s">
        <v>508</v>
      </c>
      <c r="R313" s="29"/>
      <c r="S313" s="29" t="s">
        <v>1022</v>
      </c>
      <c r="T313" s="26">
        <v>3000</v>
      </c>
      <c r="U313" s="100">
        <v>44155</v>
      </c>
      <c r="V313" s="100">
        <v>44155</v>
      </c>
      <c r="W313" s="28">
        <v>3000</v>
      </c>
    </row>
    <row r="314" spans="1:23" s="25" customFormat="1" ht="60" customHeight="1">
      <c r="A314" s="29" t="s">
        <v>1013</v>
      </c>
      <c r="B314" s="29">
        <v>80204250585</v>
      </c>
      <c r="C314" s="22" t="s">
        <v>267</v>
      </c>
      <c r="D314" s="22" t="s">
        <v>1014</v>
      </c>
      <c r="E314" s="21" t="s">
        <v>48</v>
      </c>
      <c r="F314" s="29"/>
      <c r="G314" s="29"/>
      <c r="H314" s="29"/>
      <c r="I314" s="29"/>
      <c r="J314" s="24"/>
      <c r="K314" s="29"/>
      <c r="L314" s="29"/>
      <c r="M314" s="29"/>
      <c r="N314" s="29"/>
      <c r="O314" s="29"/>
      <c r="P314" s="29"/>
      <c r="Q314" s="37" t="s">
        <v>1021</v>
      </c>
      <c r="R314" s="29"/>
      <c r="S314" s="29" t="s">
        <v>1020</v>
      </c>
      <c r="T314" s="39">
        <v>712</v>
      </c>
      <c r="U314" s="100">
        <v>44124</v>
      </c>
      <c r="V314" s="100">
        <v>44510</v>
      </c>
      <c r="W314" s="28">
        <v>0</v>
      </c>
    </row>
    <row r="315" spans="1:23" s="25" customFormat="1" ht="75" customHeight="1">
      <c r="A315" s="29" t="s">
        <v>1017</v>
      </c>
      <c r="B315" s="24">
        <v>80204250585</v>
      </c>
      <c r="C315" s="22" t="s">
        <v>267</v>
      </c>
      <c r="D315" s="22" t="s">
        <v>1018</v>
      </c>
      <c r="E315" s="21" t="s">
        <v>48</v>
      </c>
      <c r="F315" s="29"/>
      <c r="G315" s="29"/>
      <c r="H315" s="29"/>
      <c r="I315" s="29"/>
      <c r="J315" s="24"/>
      <c r="K315" s="29"/>
      <c r="L315" s="29"/>
      <c r="M315" s="29"/>
      <c r="N315" s="29"/>
      <c r="O315" s="29"/>
      <c r="P315" s="29"/>
      <c r="Q315" s="37" t="s">
        <v>329</v>
      </c>
      <c r="R315" s="29"/>
      <c r="S315" s="29" t="s">
        <v>1019</v>
      </c>
      <c r="T315" s="39">
        <v>1238</v>
      </c>
      <c r="U315" s="100">
        <v>44207</v>
      </c>
      <c r="V315" s="100">
        <v>44238</v>
      </c>
      <c r="W315" s="28">
        <v>1238</v>
      </c>
    </row>
    <row r="316" spans="1:23" s="25" customFormat="1" ht="60" customHeight="1">
      <c r="A316" s="22" t="s">
        <v>1023</v>
      </c>
      <c r="B316" s="22">
        <v>80204250585</v>
      </c>
      <c r="C316" s="22" t="s">
        <v>267</v>
      </c>
      <c r="D316" s="22" t="s">
        <v>1024</v>
      </c>
      <c r="E316" s="21" t="s">
        <v>48</v>
      </c>
      <c r="F316" s="22"/>
      <c r="G316" s="22"/>
      <c r="H316" s="22"/>
      <c r="I316" s="22"/>
      <c r="J316" s="22"/>
      <c r="K316" s="22"/>
      <c r="L316" s="22"/>
      <c r="M316" s="22"/>
      <c r="N316" s="22"/>
      <c r="O316" s="22"/>
      <c r="P316" s="22"/>
      <c r="Q316" s="22">
        <v>5044820156</v>
      </c>
      <c r="R316" s="22"/>
      <c r="S316" s="22" t="s">
        <v>322</v>
      </c>
      <c r="T316" s="44">
        <v>181.26</v>
      </c>
      <c r="U316" s="100">
        <v>44159</v>
      </c>
      <c r="V316" s="100">
        <v>44166</v>
      </c>
      <c r="W316" s="25">
        <v>181.26</v>
      </c>
    </row>
    <row r="317" spans="1:23" s="25" customFormat="1" ht="45" customHeight="1">
      <c r="A317" s="22" t="s">
        <v>1025</v>
      </c>
      <c r="B317" s="22">
        <v>80204250585</v>
      </c>
      <c r="C317" s="22" t="s">
        <v>267</v>
      </c>
      <c r="D317" s="22" t="s">
        <v>1026</v>
      </c>
      <c r="E317" s="21" t="s">
        <v>48</v>
      </c>
      <c r="F317" s="22"/>
      <c r="G317" s="22"/>
      <c r="H317" s="22"/>
      <c r="I317" s="22"/>
      <c r="J317" s="22"/>
      <c r="K317" s="22"/>
      <c r="L317" s="22"/>
      <c r="M317" s="22"/>
      <c r="N317" s="22"/>
      <c r="O317" s="22"/>
      <c r="P317" s="22"/>
      <c r="Q317" s="22"/>
      <c r="R317" s="22"/>
      <c r="S317" s="22" t="s">
        <v>423</v>
      </c>
      <c r="T317" s="39">
        <v>28800</v>
      </c>
      <c r="U317" s="100">
        <v>44196</v>
      </c>
      <c r="V317" s="100">
        <v>44926</v>
      </c>
      <c r="W317" s="28">
        <v>0</v>
      </c>
    </row>
    <row r="318" spans="1:23" s="25" customFormat="1" ht="60" customHeight="1">
      <c r="A318" s="22" t="s">
        <v>1027</v>
      </c>
      <c r="B318" s="22">
        <v>80204250585</v>
      </c>
      <c r="C318" s="22" t="s">
        <v>267</v>
      </c>
      <c r="D318" s="22" t="s">
        <v>1028</v>
      </c>
      <c r="E318" s="21" t="s">
        <v>48</v>
      </c>
      <c r="F318" s="22"/>
      <c r="G318" s="22"/>
      <c r="H318" s="22"/>
      <c r="I318" s="22"/>
      <c r="J318" s="22"/>
      <c r="K318" s="22"/>
      <c r="L318" s="22"/>
      <c r="M318" s="22"/>
      <c r="N318" s="22"/>
      <c r="O318" s="22"/>
      <c r="P318" s="22"/>
      <c r="Q318" s="77" t="s">
        <v>701</v>
      </c>
      <c r="R318" s="22"/>
      <c r="S318" s="22" t="s">
        <v>1383</v>
      </c>
      <c r="T318" s="44">
        <v>257.58</v>
      </c>
      <c r="U318" s="100">
        <v>44171</v>
      </c>
      <c r="V318" s="100">
        <v>44175</v>
      </c>
      <c r="W318" s="25">
        <v>257.58</v>
      </c>
    </row>
    <row r="319" spans="1:23" s="25" customFormat="1" ht="105" customHeight="1">
      <c r="A319" s="22" t="s">
        <v>1029</v>
      </c>
      <c r="B319" s="22">
        <v>80204250585</v>
      </c>
      <c r="C319" s="22" t="s">
        <v>267</v>
      </c>
      <c r="D319" s="22" t="s">
        <v>1030</v>
      </c>
      <c r="E319" s="22" t="s">
        <v>51</v>
      </c>
      <c r="F319" s="22"/>
      <c r="G319" s="22"/>
      <c r="H319" s="22"/>
      <c r="I319" s="22"/>
      <c r="J319" s="22"/>
      <c r="K319" s="22"/>
      <c r="L319" s="22"/>
      <c r="M319" s="22"/>
      <c r="N319" s="22"/>
      <c r="O319" s="22"/>
      <c r="P319" s="22"/>
      <c r="Q319" s="22">
        <v>4472901000</v>
      </c>
      <c r="R319" s="22"/>
      <c r="S319" s="22" t="s">
        <v>980</v>
      </c>
      <c r="T319" s="39">
        <v>109013</v>
      </c>
      <c r="U319" s="100">
        <v>44139</v>
      </c>
      <c r="V319" s="100">
        <v>45964</v>
      </c>
      <c r="W319" s="25">
        <v>1009013</v>
      </c>
    </row>
    <row r="320" spans="1:23" s="25" customFormat="1" ht="105" customHeight="1">
      <c r="A320" s="22" t="s">
        <v>1031</v>
      </c>
      <c r="B320" s="22">
        <v>80204250585</v>
      </c>
      <c r="C320" s="22" t="s">
        <v>267</v>
      </c>
      <c r="D320" s="22" t="s">
        <v>1032</v>
      </c>
      <c r="E320" s="22" t="s">
        <v>51</v>
      </c>
      <c r="F320" s="22"/>
      <c r="G320" s="22"/>
      <c r="H320" s="22"/>
      <c r="I320" s="22"/>
      <c r="J320" s="22"/>
      <c r="K320" s="22"/>
      <c r="L320" s="22"/>
      <c r="M320" s="22"/>
      <c r="N320" s="22"/>
      <c r="O320" s="22"/>
      <c r="P320" s="22"/>
      <c r="Q320" s="22">
        <v>4472901000</v>
      </c>
      <c r="R320" s="22"/>
      <c r="S320" s="22" t="s">
        <v>980</v>
      </c>
      <c r="T320" s="39">
        <v>6975</v>
      </c>
      <c r="U320" s="100">
        <v>44137</v>
      </c>
      <c r="V320" s="100">
        <v>45964</v>
      </c>
      <c r="W320" s="25">
        <v>6975</v>
      </c>
    </row>
    <row r="321" spans="1:23" s="25" customFormat="1" ht="60" customHeight="1">
      <c r="A321" s="29" t="s">
        <v>1033</v>
      </c>
      <c r="B321" s="22">
        <v>80204250585</v>
      </c>
      <c r="C321" s="22" t="s">
        <v>267</v>
      </c>
      <c r="D321" s="22" t="s">
        <v>1034</v>
      </c>
      <c r="E321" s="22" t="s">
        <v>51</v>
      </c>
      <c r="F321" s="29"/>
      <c r="G321" s="29"/>
      <c r="H321" s="29"/>
      <c r="I321" s="29"/>
      <c r="J321" s="24"/>
      <c r="K321" s="29"/>
      <c r="L321" s="29"/>
      <c r="M321" s="29"/>
      <c r="N321" s="29"/>
      <c r="O321" s="29"/>
      <c r="P321" s="29"/>
      <c r="Q321" s="37" t="s">
        <v>1036</v>
      </c>
      <c r="R321" s="29"/>
      <c r="S321" s="25" t="s">
        <v>1035</v>
      </c>
      <c r="T321" s="39">
        <v>165926</v>
      </c>
      <c r="U321" s="100">
        <v>44151</v>
      </c>
      <c r="V321" s="100">
        <v>45976</v>
      </c>
      <c r="W321" s="28">
        <v>164466</v>
      </c>
    </row>
    <row r="322" spans="1:23" s="25" customFormat="1" ht="75" customHeight="1">
      <c r="A322" s="29" t="s">
        <v>1037</v>
      </c>
      <c r="B322" s="22">
        <v>80204250585</v>
      </c>
      <c r="C322" s="22" t="s">
        <v>267</v>
      </c>
      <c r="D322" s="22" t="s">
        <v>1038</v>
      </c>
      <c r="E322" s="21" t="s">
        <v>48</v>
      </c>
      <c r="F322" s="29"/>
      <c r="G322" s="29"/>
      <c r="H322" s="29"/>
      <c r="I322" s="29"/>
      <c r="J322" s="21" t="s">
        <v>1152</v>
      </c>
      <c r="K322" s="29"/>
      <c r="L322" s="21" t="s">
        <v>1151</v>
      </c>
      <c r="M322" s="29"/>
      <c r="N322" s="29"/>
      <c r="O322" s="29"/>
      <c r="P322" s="29"/>
      <c r="Q322" s="37" t="s">
        <v>1150</v>
      </c>
      <c r="R322" s="29"/>
      <c r="S322" s="29" t="s">
        <v>1149</v>
      </c>
      <c r="T322" s="26">
        <v>40925</v>
      </c>
      <c r="U322" s="100">
        <v>44253</v>
      </c>
      <c r="V322" s="100">
        <v>45565</v>
      </c>
      <c r="W322" s="28">
        <f>2714.68+2714.68</f>
        <v>5429.36</v>
      </c>
    </row>
    <row r="323" spans="1:23" s="25" customFormat="1" ht="76.5" customHeight="1">
      <c r="A323" s="29" t="s">
        <v>1040</v>
      </c>
      <c r="B323" s="22">
        <v>80204250585</v>
      </c>
      <c r="C323" s="22" t="s">
        <v>267</v>
      </c>
      <c r="D323" s="62" t="s">
        <v>1076</v>
      </c>
      <c r="E323" s="21" t="s">
        <v>36</v>
      </c>
      <c r="F323" s="29"/>
      <c r="G323" s="29"/>
      <c r="H323" s="29"/>
      <c r="I323" s="29"/>
      <c r="J323" s="24"/>
      <c r="K323" s="29"/>
      <c r="L323" s="29"/>
      <c r="M323" s="21" t="s">
        <v>1077</v>
      </c>
      <c r="N323" s="21"/>
      <c r="O323" s="21" t="s">
        <v>1078</v>
      </c>
      <c r="P323" s="21" t="s">
        <v>1079</v>
      </c>
      <c r="Q323" s="24"/>
      <c r="R323" s="29"/>
      <c r="S323" s="21"/>
      <c r="T323" s="39">
        <v>8498014.5999999996</v>
      </c>
      <c r="U323" s="100">
        <v>44136</v>
      </c>
      <c r="V323" s="100">
        <v>45961</v>
      </c>
      <c r="W323" s="28">
        <f>161786.26+69336.967+171000+167580+69336.67+169366.3+163496.26+169290+69336.67</f>
        <v>1210529.1269999999</v>
      </c>
    </row>
    <row r="324" spans="1:23" s="25" customFormat="1" ht="120" customHeight="1">
      <c r="A324" s="29" t="s">
        <v>1041</v>
      </c>
      <c r="B324" s="22">
        <v>80204250585</v>
      </c>
      <c r="C324" s="22" t="s">
        <v>267</v>
      </c>
      <c r="D324" s="62" t="s">
        <v>1039</v>
      </c>
      <c r="E324" s="21" t="s">
        <v>36</v>
      </c>
      <c r="F324" s="29"/>
      <c r="G324" s="29"/>
      <c r="H324" s="29"/>
      <c r="I324" s="29"/>
      <c r="J324" s="24"/>
      <c r="K324" s="29"/>
      <c r="L324" s="29"/>
      <c r="M324" s="21" t="s">
        <v>1081</v>
      </c>
      <c r="N324" s="21"/>
      <c r="O324" s="21" t="s">
        <v>1080</v>
      </c>
      <c r="P324" s="21" t="s">
        <v>1079</v>
      </c>
      <c r="Q324" s="24"/>
      <c r="R324" s="29"/>
      <c r="S324" s="21"/>
      <c r="T324" s="39">
        <v>8800450</v>
      </c>
      <c r="U324" s="100">
        <v>44136</v>
      </c>
      <c r="V324" s="100">
        <v>45961</v>
      </c>
      <c r="W324" s="28">
        <f>40950+11750+98700+14000+70350+40950+70350+30000+1560+84201+98700+40950+70350+72480+38592.75+98700+354530.25</f>
        <v>1237114</v>
      </c>
    </row>
    <row r="325" spans="1:23" s="25" customFormat="1" ht="105" customHeight="1">
      <c r="A325" s="29" t="s">
        <v>1042</v>
      </c>
      <c r="B325" s="54">
        <v>80204250585</v>
      </c>
      <c r="C325" s="54" t="s">
        <v>267</v>
      </c>
      <c r="D325" s="21" t="s">
        <v>1043</v>
      </c>
      <c r="E325" s="21" t="s">
        <v>48</v>
      </c>
      <c r="F325" s="29"/>
      <c r="G325" s="29"/>
      <c r="H325" s="29"/>
      <c r="I325" s="29"/>
      <c r="J325" s="24"/>
      <c r="K325" s="29"/>
      <c r="L325" s="29"/>
      <c r="M325" s="29"/>
      <c r="N325" s="29"/>
      <c r="O325" s="29"/>
      <c r="P325" s="29"/>
      <c r="Q325" s="37" t="s">
        <v>1049</v>
      </c>
      <c r="R325" s="29"/>
      <c r="S325" s="29" t="s">
        <v>1048</v>
      </c>
      <c r="T325" s="39">
        <v>840</v>
      </c>
      <c r="U325" s="100">
        <v>44105</v>
      </c>
      <c r="V325" s="100">
        <v>44195</v>
      </c>
      <c r="W325" s="28">
        <v>0</v>
      </c>
    </row>
    <row r="326" spans="1:23" s="25" customFormat="1" ht="60" customHeight="1">
      <c r="A326" s="29" t="s">
        <v>1044</v>
      </c>
      <c r="B326" s="54">
        <v>80204250585</v>
      </c>
      <c r="C326" s="54" t="s">
        <v>267</v>
      </c>
      <c r="D326" s="21" t="s">
        <v>1045</v>
      </c>
      <c r="E326" s="21" t="s">
        <v>48</v>
      </c>
      <c r="F326" s="29"/>
      <c r="G326" s="29"/>
      <c r="H326" s="29"/>
      <c r="I326" s="29"/>
      <c r="J326" s="24"/>
      <c r="K326" s="29"/>
      <c r="L326" s="29"/>
      <c r="M326" s="29"/>
      <c r="N326" s="29"/>
      <c r="O326" s="29"/>
      <c r="P326" s="29"/>
      <c r="Q326" s="37" t="s">
        <v>1046</v>
      </c>
      <c r="R326" s="29"/>
      <c r="S326" s="29" t="s">
        <v>1047</v>
      </c>
      <c r="T326" s="39">
        <v>1135</v>
      </c>
      <c r="U326" s="100">
        <v>44119</v>
      </c>
      <c r="V326" s="100">
        <v>45214</v>
      </c>
      <c r="W326" s="28">
        <v>1135</v>
      </c>
    </row>
    <row r="327" spans="1:23" s="25" customFormat="1" ht="90" customHeight="1">
      <c r="A327" s="29" t="s">
        <v>1052</v>
      </c>
      <c r="B327" s="54">
        <v>80204250585</v>
      </c>
      <c r="C327" s="54" t="s">
        <v>267</v>
      </c>
      <c r="D327" s="21" t="s">
        <v>1053</v>
      </c>
      <c r="E327" s="21" t="s">
        <v>48</v>
      </c>
      <c r="F327" s="29"/>
      <c r="G327" s="29"/>
      <c r="H327" s="29"/>
      <c r="I327" s="29"/>
      <c r="J327" s="24"/>
      <c r="K327" s="29"/>
      <c r="L327" s="29"/>
      <c r="M327" s="29"/>
      <c r="N327" s="29"/>
      <c r="O327" s="29"/>
      <c r="P327" s="29"/>
      <c r="Q327" s="24"/>
      <c r="R327" s="29"/>
      <c r="S327" s="29"/>
      <c r="T327" s="39">
        <v>6400</v>
      </c>
      <c r="U327" s="100">
        <v>44166</v>
      </c>
      <c r="V327" s="100">
        <v>44895</v>
      </c>
      <c r="W327" s="28">
        <v>0</v>
      </c>
    </row>
    <row r="328" spans="1:23" s="25" customFormat="1" ht="60" customHeight="1">
      <c r="A328" s="29" t="s">
        <v>1050</v>
      </c>
      <c r="B328" s="54">
        <v>80204250585</v>
      </c>
      <c r="C328" s="54" t="s">
        <v>267</v>
      </c>
      <c r="D328" s="21" t="s">
        <v>1051</v>
      </c>
      <c r="E328" s="21" t="s">
        <v>48</v>
      </c>
      <c r="F328" s="29"/>
      <c r="G328" s="29"/>
      <c r="H328" s="29"/>
      <c r="I328" s="29"/>
      <c r="J328" s="24"/>
      <c r="K328" s="29"/>
      <c r="L328" s="29"/>
      <c r="M328" s="29"/>
      <c r="N328" s="29"/>
      <c r="O328" s="29"/>
      <c r="P328" s="29"/>
      <c r="Q328" s="24"/>
      <c r="R328" s="29"/>
      <c r="S328" s="29"/>
      <c r="T328" s="39">
        <v>3840</v>
      </c>
      <c r="U328" s="100">
        <v>44166</v>
      </c>
      <c r="V328" s="100">
        <v>44895</v>
      </c>
      <c r="W328" s="28">
        <v>0</v>
      </c>
    </row>
    <row r="329" spans="1:23" s="25" customFormat="1" ht="90" customHeight="1">
      <c r="A329" s="29" t="s">
        <v>1056</v>
      </c>
      <c r="B329" s="29">
        <v>80204250585</v>
      </c>
      <c r="C329" s="21" t="s">
        <v>83</v>
      </c>
      <c r="D329" s="21" t="s">
        <v>1057</v>
      </c>
      <c r="E329" s="21" t="s">
        <v>48</v>
      </c>
      <c r="F329" s="29"/>
      <c r="G329" s="29"/>
      <c r="H329" s="29"/>
      <c r="I329" s="29"/>
      <c r="J329" s="23" t="s">
        <v>1058</v>
      </c>
      <c r="K329" s="29"/>
      <c r="L329" s="21" t="s">
        <v>1059</v>
      </c>
      <c r="M329" s="29"/>
      <c r="N329" s="29"/>
      <c r="O329" s="29"/>
      <c r="P329" s="29"/>
      <c r="Q329" s="24" t="s">
        <v>1060</v>
      </c>
      <c r="R329" s="29"/>
      <c r="S329" s="29" t="s">
        <v>1061</v>
      </c>
      <c r="T329" s="28">
        <v>97896</v>
      </c>
      <c r="U329" s="100">
        <v>44127</v>
      </c>
      <c r="V329" s="100">
        <v>45260</v>
      </c>
      <c r="W329" s="28">
        <f>80150+1478.82+1478.82+(1478.82*2)</f>
        <v>86065.280000000013</v>
      </c>
    </row>
    <row r="330" spans="1:23" s="25" customFormat="1" ht="60" customHeight="1">
      <c r="A330" s="29" t="s">
        <v>1062</v>
      </c>
      <c r="B330" s="29">
        <v>80204250585</v>
      </c>
      <c r="C330" s="21" t="s">
        <v>83</v>
      </c>
      <c r="D330" s="21" t="s">
        <v>1063</v>
      </c>
      <c r="E330" s="21" t="s">
        <v>48</v>
      </c>
      <c r="F330" s="29"/>
      <c r="G330" s="29"/>
      <c r="H330" s="29"/>
      <c r="I330" s="29"/>
      <c r="J330" s="24" t="s">
        <v>1064</v>
      </c>
      <c r="K330" s="29"/>
      <c r="L330" s="29" t="s">
        <v>1065</v>
      </c>
      <c r="M330" s="29"/>
      <c r="N330" s="29"/>
      <c r="O330" s="29"/>
      <c r="P330" s="29"/>
      <c r="Q330" s="24" t="s">
        <v>1064</v>
      </c>
      <c r="R330" s="29"/>
      <c r="S330" s="29" t="s">
        <v>1065</v>
      </c>
      <c r="T330" s="28">
        <v>6440</v>
      </c>
      <c r="U330" s="100">
        <v>44165</v>
      </c>
      <c r="V330" s="100">
        <v>44196</v>
      </c>
      <c r="W330" s="28">
        <f>3442.62+1836.07</f>
        <v>5278.69</v>
      </c>
    </row>
    <row r="331" spans="1:23" s="25" customFormat="1" ht="105" customHeight="1">
      <c r="A331" s="29" t="s">
        <v>1066</v>
      </c>
      <c r="B331" s="29">
        <v>80204250585</v>
      </c>
      <c r="C331" s="29" t="s">
        <v>83</v>
      </c>
      <c r="D331" s="21" t="s">
        <v>1067</v>
      </c>
      <c r="E331" s="21" t="s">
        <v>48</v>
      </c>
      <c r="F331" s="29"/>
      <c r="G331" s="29"/>
      <c r="H331" s="29"/>
      <c r="I331" s="29"/>
      <c r="J331" s="24" t="s">
        <v>1068</v>
      </c>
      <c r="K331" s="29"/>
      <c r="L331" s="29" t="s">
        <v>1069</v>
      </c>
      <c r="M331" s="29"/>
      <c r="N331" s="29"/>
      <c r="O331" s="29"/>
      <c r="P331" s="29"/>
      <c r="Q331" s="24" t="s">
        <v>1068</v>
      </c>
      <c r="R331" s="29"/>
      <c r="S331" s="29" t="s">
        <v>1069</v>
      </c>
      <c r="T331" s="28">
        <v>1800</v>
      </c>
      <c r="U331" s="100">
        <v>44168</v>
      </c>
      <c r="V331" s="100">
        <v>44561</v>
      </c>
      <c r="W331" s="28">
        <f>900+900</f>
        <v>1800</v>
      </c>
    </row>
    <row r="332" spans="1:23" s="25" customFormat="1" ht="120" customHeight="1">
      <c r="A332" s="29" t="s">
        <v>1070</v>
      </c>
      <c r="B332" s="29">
        <v>80204250585</v>
      </c>
      <c r="C332" s="29" t="s">
        <v>83</v>
      </c>
      <c r="D332" s="21" t="s">
        <v>1432</v>
      </c>
      <c r="E332" s="21" t="s">
        <v>48</v>
      </c>
      <c r="F332" s="29"/>
      <c r="G332" s="29"/>
      <c r="H332" s="29"/>
      <c r="I332" s="29"/>
      <c r="J332" s="24"/>
      <c r="K332" s="29"/>
      <c r="L332" s="32" t="s">
        <v>1071</v>
      </c>
      <c r="M332" s="29"/>
      <c r="N332" s="29"/>
      <c r="O332" s="29"/>
      <c r="P332" s="29"/>
      <c r="Q332" s="24"/>
      <c r="R332" s="29"/>
      <c r="S332" s="32" t="s">
        <v>1071</v>
      </c>
      <c r="T332" s="26">
        <v>35000</v>
      </c>
      <c r="U332" s="100">
        <v>44165</v>
      </c>
      <c r="V332" s="100">
        <v>44561</v>
      </c>
      <c r="W332" s="28">
        <f>1549.18+172.13+114.75</f>
        <v>1836.06</v>
      </c>
    </row>
    <row r="333" spans="1:23" s="25" customFormat="1" ht="90" customHeight="1">
      <c r="A333" s="29" t="s">
        <v>1072</v>
      </c>
      <c r="B333" s="29">
        <v>80204250585</v>
      </c>
      <c r="C333" s="21" t="s">
        <v>83</v>
      </c>
      <c r="D333" s="21" t="s">
        <v>1073</v>
      </c>
      <c r="E333" s="21" t="s">
        <v>48</v>
      </c>
      <c r="F333" s="29"/>
      <c r="G333" s="29"/>
      <c r="H333" s="29"/>
      <c r="I333" s="29"/>
      <c r="J333" s="24" t="s">
        <v>1074</v>
      </c>
      <c r="K333" s="29"/>
      <c r="L333" s="21" t="s">
        <v>1075</v>
      </c>
      <c r="M333" s="29"/>
      <c r="N333" s="29"/>
      <c r="O333" s="29"/>
      <c r="P333" s="29"/>
      <c r="Q333" s="24" t="s">
        <v>1074</v>
      </c>
      <c r="R333" s="29"/>
      <c r="S333" s="21" t="s">
        <v>1075</v>
      </c>
      <c r="T333" s="26">
        <v>8500</v>
      </c>
      <c r="U333" s="100">
        <v>44169</v>
      </c>
      <c r="V333" s="100">
        <v>44196</v>
      </c>
      <c r="W333" s="28">
        <v>6918.03</v>
      </c>
    </row>
    <row r="334" spans="1:23" s="25" customFormat="1" ht="75" customHeight="1">
      <c r="A334" s="22" t="s">
        <v>1085</v>
      </c>
      <c r="B334" s="29">
        <v>80204250585</v>
      </c>
      <c r="C334" s="21" t="s">
        <v>83</v>
      </c>
      <c r="D334" s="22" t="s">
        <v>1086</v>
      </c>
      <c r="E334" s="21" t="s">
        <v>48</v>
      </c>
      <c r="F334" s="22"/>
      <c r="G334" s="22"/>
      <c r="H334" s="22"/>
      <c r="I334" s="22"/>
      <c r="J334" s="22"/>
      <c r="K334" s="22"/>
      <c r="L334" s="22"/>
      <c r="M334" s="22"/>
      <c r="N334" s="22"/>
      <c r="O334" s="22"/>
      <c r="P334" s="22"/>
      <c r="Q334" s="21">
        <v>399810589</v>
      </c>
      <c r="R334" s="22"/>
      <c r="S334" s="22" t="s">
        <v>405</v>
      </c>
      <c r="T334" s="39">
        <v>1810.1</v>
      </c>
      <c r="U334" s="100">
        <v>44223</v>
      </c>
      <c r="V334" s="100">
        <v>44224</v>
      </c>
      <c r="W334" s="28">
        <v>1191.56</v>
      </c>
    </row>
    <row r="335" spans="1:23" s="25" customFormat="1" ht="75" customHeight="1">
      <c r="A335" s="22" t="s">
        <v>1087</v>
      </c>
      <c r="B335" s="29">
        <v>80204250585</v>
      </c>
      <c r="C335" s="21" t="s">
        <v>83</v>
      </c>
      <c r="D335" s="22" t="s">
        <v>1088</v>
      </c>
      <c r="E335" s="21" t="s">
        <v>48</v>
      </c>
      <c r="F335" s="22"/>
      <c r="G335" s="22"/>
      <c r="H335" s="22"/>
      <c r="I335" s="22"/>
      <c r="J335" s="22"/>
      <c r="K335" s="22"/>
      <c r="L335" s="22"/>
      <c r="M335" s="22"/>
      <c r="N335" s="22"/>
      <c r="O335" s="22"/>
      <c r="P335" s="22"/>
      <c r="Q335" s="21">
        <v>399810589</v>
      </c>
      <c r="R335" s="22"/>
      <c r="S335" s="22" t="s">
        <v>405</v>
      </c>
      <c r="T335" s="39">
        <v>1400.7</v>
      </c>
      <c r="U335" s="100">
        <v>44211</v>
      </c>
      <c r="V335" s="100">
        <v>44211</v>
      </c>
      <c r="W335" s="28">
        <v>1226.21</v>
      </c>
    </row>
    <row r="336" spans="1:23" s="25" customFormat="1" ht="60" customHeight="1">
      <c r="A336" s="22" t="s">
        <v>1089</v>
      </c>
      <c r="B336" s="29">
        <v>80204250585</v>
      </c>
      <c r="C336" s="21" t="s">
        <v>83</v>
      </c>
      <c r="D336" s="22" t="s">
        <v>1090</v>
      </c>
      <c r="E336" s="21" t="s">
        <v>51</v>
      </c>
      <c r="F336" s="22"/>
      <c r="G336" s="22"/>
      <c r="H336" s="22"/>
      <c r="I336" s="22"/>
      <c r="J336" s="22"/>
      <c r="K336" s="22"/>
      <c r="L336" s="22"/>
      <c r="M336" s="22"/>
      <c r="N336" s="22"/>
      <c r="O336" s="22"/>
      <c r="P336" s="22"/>
      <c r="Q336" s="21">
        <v>97103880585</v>
      </c>
      <c r="R336" s="22"/>
      <c r="S336" s="22" t="s">
        <v>788</v>
      </c>
      <c r="T336" s="39">
        <v>30000</v>
      </c>
      <c r="U336" s="100">
        <v>44274</v>
      </c>
      <c r="V336" s="100">
        <v>44985</v>
      </c>
      <c r="W336" s="28">
        <f>1280.49+8756.85+223.15+86.51+31.02+12.37+66.1</f>
        <v>10456.490000000002</v>
      </c>
    </row>
    <row r="337" spans="1:23" s="25" customFormat="1" ht="60" customHeight="1">
      <c r="A337" s="22" t="s">
        <v>1091</v>
      </c>
      <c r="B337" s="29">
        <v>80204250585</v>
      </c>
      <c r="C337" s="21" t="s">
        <v>83</v>
      </c>
      <c r="D337" s="22" t="s">
        <v>1092</v>
      </c>
      <c r="E337" s="21" t="s">
        <v>48</v>
      </c>
      <c r="F337" s="22"/>
      <c r="G337" s="22"/>
      <c r="H337" s="22"/>
      <c r="I337" s="22"/>
      <c r="J337" s="22"/>
      <c r="K337" s="22"/>
      <c r="L337" s="22"/>
      <c r="M337" s="22"/>
      <c r="N337" s="22"/>
      <c r="O337" s="22"/>
      <c r="P337" s="22"/>
      <c r="Q337" s="21"/>
      <c r="R337" s="22"/>
      <c r="S337" s="22" t="s">
        <v>1093</v>
      </c>
      <c r="T337" s="39">
        <v>12556</v>
      </c>
      <c r="U337" s="100">
        <v>44210</v>
      </c>
      <c r="V337" s="100">
        <v>44575</v>
      </c>
      <c r="W337" s="28">
        <v>0</v>
      </c>
    </row>
    <row r="338" spans="1:23" s="25" customFormat="1" ht="75" customHeight="1">
      <c r="A338" s="22" t="s">
        <v>1094</v>
      </c>
      <c r="B338" s="29">
        <v>80204250585</v>
      </c>
      <c r="C338" s="21" t="s">
        <v>83</v>
      </c>
      <c r="D338" s="22" t="s">
        <v>1095</v>
      </c>
      <c r="E338" s="21" t="s">
        <v>48</v>
      </c>
      <c r="F338" s="22"/>
      <c r="G338" s="22"/>
      <c r="H338" s="22"/>
      <c r="I338" s="22"/>
      <c r="J338" s="22">
        <v>768340580</v>
      </c>
      <c r="K338" s="22"/>
      <c r="L338" s="22" t="s">
        <v>1096</v>
      </c>
      <c r="M338" s="22"/>
      <c r="N338" s="22"/>
      <c r="O338" s="22"/>
      <c r="P338" s="22"/>
      <c r="Q338" s="21">
        <v>768340580</v>
      </c>
      <c r="R338" s="22"/>
      <c r="S338" s="22" t="s">
        <v>1096</v>
      </c>
      <c r="T338" s="39">
        <v>10000</v>
      </c>
      <c r="U338" s="100">
        <v>44214</v>
      </c>
      <c r="V338" s="100">
        <v>44561</v>
      </c>
      <c r="W338" s="28">
        <f>301.64+601.63+306.55-31.14+301.63+216.39+72.13+132+108.19+157.37</f>
        <v>2166.39</v>
      </c>
    </row>
    <row r="339" spans="1:23" s="25" customFormat="1" ht="45" customHeight="1">
      <c r="A339" s="22" t="s">
        <v>1097</v>
      </c>
      <c r="B339" s="29">
        <v>80204250585</v>
      </c>
      <c r="C339" s="21" t="s">
        <v>83</v>
      </c>
      <c r="D339" s="22" t="s">
        <v>1098</v>
      </c>
      <c r="E339" s="21" t="s">
        <v>48</v>
      </c>
      <c r="F339" s="22"/>
      <c r="G339" s="22"/>
      <c r="H339" s="22"/>
      <c r="I339" s="22"/>
      <c r="J339" s="22" t="s">
        <v>1099</v>
      </c>
      <c r="K339" s="22"/>
      <c r="L339" s="22" t="s">
        <v>1100</v>
      </c>
      <c r="M339" s="22"/>
      <c r="N339" s="22"/>
      <c r="O339" s="22"/>
      <c r="P339" s="22"/>
      <c r="Q339" s="21"/>
      <c r="R339" s="22"/>
      <c r="S339" s="22" t="s">
        <v>1101</v>
      </c>
      <c r="T339" s="39">
        <v>5000</v>
      </c>
      <c r="U339" s="100">
        <v>44237</v>
      </c>
      <c r="V339" s="100">
        <v>44561</v>
      </c>
      <c r="W339" s="28">
        <f>409.83+475.4-16.39</f>
        <v>868.84</v>
      </c>
    </row>
    <row r="340" spans="1:23" s="25" customFormat="1" ht="90" customHeight="1">
      <c r="A340" s="22" t="s">
        <v>1102</v>
      </c>
      <c r="B340" s="29">
        <v>80204250585</v>
      </c>
      <c r="C340" s="21" t="s">
        <v>83</v>
      </c>
      <c r="D340" s="22" t="s">
        <v>1103</v>
      </c>
      <c r="E340" s="21" t="s">
        <v>48</v>
      </c>
      <c r="F340" s="22"/>
      <c r="G340" s="22"/>
      <c r="H340" s="22"/>
      <c r="I340" s="22"/>
      <c r="J340" s="22"/>
      <c r="K340" s="22"/>
      <c r="L340" s="22"/>
      <c r="M340" s="22"/>
      <c r="N340" s="22"/>
      <c r="O340" s="22"/>
      <c r="P340" s="22"/>
      <c r="Q340" s="21">
        <v>11484370967</v>
      </c>
      <c r="R340" s="22"/>
      <c r="S340" s="22" t="s">
        <v>1104</v>
      </c>
      <c r="T340" s="39">
        <v>160</v>
      </c>
      <c r="U340" s="100">
        <v>44231</v>
      </c>
      <c r="V340" s="100">
        <v>44232</v>
      </c>
      <c r="W340" s="28">
        <v>160</v>
      </c>
    </row>
    <row r="341" spans="1:23" s="25" customFormat="1" ht="90" customHeight="1">
      <c r="A341" s="22" t="s">
        <v>1105</v>
      </c>
      <c r="B341" s="29">
        <v>80204250585</v>
      </c>
      <c r="C341" s="21" t="s">
        <v>83</v>
      </c>
      <c r="D341" s="22" t="s">
        <v>1106</v>
      </c>
      <c r="E341" s="21" t="s">
        <v>48</v>
      </c>
      <c r="F341" s="22"/>
      <c r="G341" s="22"/>
      <c r="H341" s="22"/>
      <c r="I341" s="22"/>
      <c r="J341" s="22"/>
      <c r="K341" s="22"/>
      <c r="L341" s="22"/>
      <c r="M341" s="22"/>
      <c r="N341" s="22"/>
      <c r="O341" s="22"/>
      <c r="P341" s="22"/>
      <c r="Q341" s="21">
        <v>11484370967</v>
      </c>
      <c r="R341" s="22"/>
      <c r="S341" s="22" t="s">
        <v>1104</v>
      </c>
      <c r="T341" s="39">
        <v>160</v>
      </c>
      <c r="U341" s="100">
        <v>44217</v>
      </c>
      <c r="V341" s="100">
        <v>44217</v>
      </c>
      <c r="W341" s="28">
        <v>160</v>
      </c>
    </row>
    <row r="342" spans="1:23" s="25" customFormat="1" ht="60" customHeight="1">
      <c r="A342" s="22" t="s">
        <v>1107</v>
      </c>
      <c r="B342" s="29">
        <v>80204250585</v>
      </c>
      <c r="C342" s="21" t="s">
        <v>83</v>
      </c>
      <c r="D342" s="22" t="s">
        <v>1108</v>
      </c>
      <c r="E342" s="21" t="s">
        <v>39</v>
      </c>
      <c r="F342" s="22"/>
      <c r="G342" s="22"/>
      <c r="H342" s="22"/>
      <c r="I342" s="22"/>
      <c r="J342" s="22">
        <v>8106710158</v>
      </c>
      <c r="K342" s="22"/>
      <c r="L342" s="22" t="s">
        <v>1109</v>
      </c>
      <c r="M342" s="22"/>
      <c r="N342" s="22"/>
      <c r="O342" s="22"/>
      <c r="P342" s="22"/>
      <c r="Q342" s="21">
        <v>8106710158</v>
      </c>
      <c r="R342" s="22"/>
      <c r="S342" s="22" t="s">
        <v>1110</v>
      </c>
      <c r="T342" s="39">
        <v>60000</v>
      </c>
      <c r="U342" s="100">
        <v>44286</v>
      </c>
      <c r="V342" s="100">
        <v>44651</v>
      </c>
      <c r="W342" s="28">
        <v>60000</v>
      </c>
    </row>
    <row r="343" spans="1:23" s="25" customFormat="1" ht="60" customHeight="1">
      <c r="A343" s="25" t="s">
        <v>1111</v>
      </c>
      <c r="B343" s="29">
        <v>80204250585</v>
      </c>
      <c r="C343" s="21" t="s">
        <v>83</v>
      </c>
      <c r="D343" s="22" t="s">
        <v>1117</v>
      </c>
      <c r="E343" s="21" t="s">
        <v>48</v>
      </c>
      <c r="F343" s="29"/>
      <c r="G343" s="29"/>
      <c r="H343" s="29"/>
      <c r="I343" s="29"/>
      <c r="J343" s="125" t="s">
        <v>2314</v>
      </c>
      <c r="K343" s="29"/>
      <c r="L343" s="22" t="s">
        <v>1139</v>
      </c>
      <c r="M343" s="29"/>
      <c r="N343" s="29"/>
      <c r="O343" s="29"/>
      <c r="P343" s="29"/>
      <c r="Q343" s="125" t="s">
        <v>2314</v>
      </c>
      <c r="R343" s="29"/>
      <c r="S343" s="29" t="s">
        <v>1139</v>
      </c>
      <c r="T343" s="26">
        <v>2447.0100000000002</v>
      </c>
      <c r="U343" s="100">
        <v>44286</v>
      </c>
      <c r="V343" s="106">
        <v>44292</v>
      </c>
      <c r="W343" s="28">
        <v>2447.0100000000002</v>
      </c>
    </row>
    <row r="344" spans="1:23" s="25" customFormat="1" ht="45" customHeight="1">
      <c r="A344" s="25" t="s">
        <v>1112</v>
      </c>
      <c r="B344" s="29">
        <v>80204250585</v>
      </c>
      <c r="C344" s="21" t="s">
        <v>83</v>
      </c>
      <c r="D344" s="22" t="s">
        <v>708</v>
      </c>
      <c r="E344" s="21" t="s">
        <v>48</v>
      </c>
      <c r="F344" s="29"/>
      <c r="G344" s="29"/>
      <c r="H344" s="29"/>
      <c r="I344" s="29"/>
      <c r="J344" s="24" t="s">
        <v>1141</v>
      </c>
      <c r="K344" s="29"/>
      <c r="L344" s="29" t="s">
        <v>1140</v>
      </c>
      <c r="M344" s="29"/>
      <c r="N344" s="29"/>
      <c r="O344" s="29"/>
      <c r="P344" s="29"/>
      <c r="Q344" s="24" t="s">
        <v>1141</v>
      </c>
      <c r="R344" s="29"/>
      <c r="S344" s="29" t="s">
        <v>1140</v>
      </c>
      <c r="T344" s="26">
        <v>5706</v>
      </c>
      <c r="U344" s="100">
        <v>44281</v>
      </c>
      <c r="V344" s="100">
        <v>44288</v>
      </c>
      <c r="W344" s="28">
        <v>5706</v>
      </c>
    </row>
    <row r="345" spans="1:23" s="25" customFormat="1" ht="90" customHeight="1">
      <c r="A345" s="25" t="s">
        <v>1113</v>
      </c>
      <c r="B345" s="29">
        <v>80204250585</v>
      </c>
      <c r="C345" s="21" t="s">
        <v>83</v>
      </c>
      <c r="D345" s="22" t="s">
        <v>1118</v>
      </c>
      <c r="E345" s="21" t="s">
        <v>48</v>
      </c>
      <c r="F345" s="29"/>
      <c r="G345" s="29"/>
      <c r="H345" s="29"/>
      <c r="I345" s="29"/>
      <c r="J345" s="24" t="s">
        <v>1143</v>
      </c>
      <c r="K345" s="29"/>
      <c r="L345" s="22" t="s">
        <v>1142</v>
      </c>
      <c r="M345" s="29"/>
      <c r="N345" s="29"/>
      <c r="O345" s="29"/>
      <c r="P345" s="29"/>
      <c r="Q345" s="24" t="s">
        <v>1143</v>
      </c>
      <c r="R345" s="29"/>
      <c r="S345" s="29" t="s">
        <v>1142</v>
      </c>
      <c r="T345" s="26">
        <v>6195</v>
      </c>
      <c r="U345" s="100">
        <v>44260</v>
      </c>
      <c r="V345" s="100">
        <v>44264</v>
      </c>
      <c r="W345" s="28">
        <v>6195</v>
      </c>
    </row>
    <row r="346" spans="1:23" s="25" customFormat="1" ht="75" customHeight="1">
      <c r="A346" s="25" t="s">
        <v>1114</v>
      </c>
      <c r="B346" s="29">
        <v>80204250585</v>
      </c>
      <c r="C346" s="21" t="s">
        <v>83</v>
      </c>
      <c r="D346" s="22" t="s">
        <v>1119</v>
      </c>
      <c r="E346" s="21" t="s">
        <v>48</v>
      </c>
      <c r="F346" s="29"/>
      <c r="G346" s="29"/>
      <c r="H346" s="29"/>
      <c r="I346" s="29"/>
      <c r="J346" s="24" t="s">
        <v>1147</v>
      </c>
      <c r="K346" s="29"/>
      <c r="L346" s="29" t="s">
        <v>1146</v>
      </c>
      <c r="M346" s="29"/>
      <c r="N346" s="29"/>
      <c r="O346" s="29"/>
      <c r="P346" s="29"/>
      <c r="Q346" s="24" t="s">
        <v>1147</v>
      </c>
      <c r="R346" s="29"/>
      <c r="S346" s="29" t="s">
        <v>1146</v>
      </c>
      <c r="T346" s="26">
        <v>1800</v>
      </c>
      <c r="U346" s="100">
        <v>44229</v>
      </c>
      <c r="V346" s="100">
        <v>44230</v>
      </c>
      <c r="W346" s="28">
        <v>1800</v>
      </c>
    </row>
    <row r="347" spans="1:23" s="25" customFormat="1" ht="45" customHeight="1">
      <c r="A347" s="25" t="s">
        <v>1115</v>
      </c>
      <c r="B347" s="29">
        <v>80204250585</v>
      </c>
      <c r="C347" s="21" t="s">
        <v>83</v>
      </c>
      <c r="D347" s="22" t="s">
        <v>1120</v>
      </c>
      <c r="E347" s="21" t="s">
        <v>48</v>
      </c>
      <c r="F347" s="29"/>
      <c r="G347" s="29"/>
      <c r="H347" s="29"/>
      <c r="I347" s="29"/>
      <c r="J347" s="24" t="s">
        <v>1145</v>
      </c>
      <c r="K347" s="29"/>
      <c r="L347" s="29" t="s">
        <v>1144</v>
      </c>
      <c r="M347" s="29"/>
      <c r="N347" s="29"/>
      <c r="O347" s="29"/>
      <c r="P347" s="29"/>
      <c r="Q347" s="24" t="s">
        <v>1145</v>
      </c>
      <c r="R347" s="29"/>
      <c r="S347" s="29" t="s">
        <v>1144</v>
      </c>
      <c r="T347" s="26">
        <v>1225</v>
      </c>
      <c r="U347" s="100">
        <v>44211</v>
      </c>
      <c r="V347" s="100">
        <v>44228</v>
      </c>
      <c r="W347" s="28">
        <v>1225</v>
      </c>
    </row>
    <row r="348" spans="1:23" s="25" customFormat="1" ht="75" customHeight="1">
      <c r="A348" s="25" t="s">
        <v>1116</v>
      </c>
      <c r="B348" s="29">
        <v>80204250585</v>
      </c>
      <c r="C348" s="21" t="s">
        <v>83</v>
      </c>
      <c r="D348" s="22" t="s">
        <v>709</v>
      </c>
      <c r="E348" s="21" t="s">
        <v>48</v>
      </c>
      <c r="F348" s="29"/>
      <c r="G348" s="29"/>
      <c r="H348" s="29"/>
      <c r="I348" s="29"/>
      <c r="J348" s="37" t="s">
        <v>717</v>
      </c>
      <c r="K348" s="29"/>
      <c r="L348" s="21" t="s">
        <v>1148</v>
      </c>
      <c r="M348" s="29"/>
      <c r="N348" s="29"/>
      <c r="O348" s="29"/>
      <c r="P348" s="29"/>
      <c r="Q348" s="37" t="s">
        <v>717</v>
      </c>
      <c r="R348" s="29"/>
      <c r="S348" s="29" t="s">
        <v>1148</v>
      </c>
      <c r="T348" s="26">
        <v>600</v>
      </c>
      <c r="U348" s="100">
        <v>44197</v>
      </c>
      <c r="V348" s="100">
        <v>44561</v>
      </c>
      <c r="W348" s="28">
        <v>600</v>
      </c>
    </row>
    <row r="349" spans="1:23" s="25" customFormat="1" ht="73.5" customHeight="1">
      <c r="A349" s="29" t="s">
        <v>1121</v>
      </c>
      <c r="B349" s="29">
        <v>80204250585</v>
      </c>
      <c r="C349" s="21" t="s">
        <v>83</v>
      </c>
      <c r="D349" s="22" t="s">
        <v>1214</v>
      </c>
      <c r="E349" s="21" t="s">
        <v>48</v>
      </c>
      <c r="F349" s="29"/>
      <c r="G349" s="29"/>
      <c r="H349" s="29"/>
      <c r="I349" s="29"/>
      <c r="J349" s="21" t="s">
        <v>1182</v>
      </c>
      <c r="K349" s="29"/>
      <c r="L349" s="21" t="s">
        <v>1181</v>
      </c>
      <c r="M349" s="29"/>
      <c r="N349" s="29"/>
      <c r="O349" s="29"/>
      <c r="P349" s="29"/>
      <c r="Q349" s="37" t="s">
        <v>190</v>
      </c>
      <c r="R349" s="29"/>
      <c r="S349" s="29" t="s">
        <v>785</v>
      </c>
      <c r="T349" s="26">
        <v>55500</v>
      </c>
      <c r="U349" s="100">
        <v>44317</v>
      </c>
      <c r="V349" s="100">
        <v>44957</v>
      </c>
      <c r="W349" s="28">
        <f>7928.57-357.14+7571.42</f>
        <v>15142.849999999999</v>
      </c>
    </row>
    <row r="350" spans="1:23" s="25" customFormat="1" ht="45" customHeight="1">
      <c r="A350" s="29" t="s">
        <v>1122</v>
      </c>
      <c r="B350" s="29">
        <v>80204250585</v>
      </c>
      <c r="C350" s="21" t="s">
        <v>83</v>
      </c>
      <c r="D350" s="22" t="s">
        <v>1123</v>
      </c>
      <c r="E350" s="21" t="s">
        <v>39</v>
      </c>
      <c r="F350" s="22"/>
      <c r="G350" s="22"/>
      <c r="H350" s="22"/>
      <c r="I350" s="22"/>
      <c r="J350" s="77" t="s">
        <v>329</v>
      </c>
      <c r="K350" s="22"/>
      <c r="L350" s="22" t="s">
        <v>333</v>
      </c>
      <c r="M350" s="22"/>
      <c r="N350" s="22"/>
      <c r="O350" s="22"/>
      <c r="P350" s="22"/>
      <c r="Q350" s="77" t="s">
        <v>329</v>
      </c>
      <c r="R350" s="22"/>
      <c r="S350" s="22" t="s">
        <v>333</v>
      </c>
      <c r="T350" s="39">
        <v>199800</v>
      </c>
      <c r="U350" s="101">
        <v>44328</v>
      </c>
      <c r="V350" s="101">
        <v>45077</v>
      </c>
      <c r="W350" s="44">
        <f>133065+46335</f>
        <v>179400</v>
      </c>
    </row>
    <row r="351" spans="1:23" s="25" customFormat="1" ht="195" customHeight="1">
      <c r="A351" s="29" t="s">
        <v>1124</v>
      </c>
      <c r="B351" s="29">
        <v>80204250585</v>
      </c>
      <c r="C351" s="21" t="s">
        <v>83</v>
      </c>
      <c r="D351" s="126" t="s">
        <v>2312</v>
      </c>
      <c r="E351" s="21" t="s">
        <v>48</v>
      </c>
      <c r="F351" s="29"/>
      <c r="G351" s="29"/>
      <c r="H351" s="29"/>
      <c r="I351" s="29"/>
      <c r="J351" s="24"/>
      <c r="K351" s="29"/>
      <c r="L351" s="29"/>
      <c r="M351" s="29"/>
      <c r="N351" s="29"/>
      <c r="O351" s="29"/>
      <c r="P351" s="29"/>
      <c r="Q351" s="37" t="s">
        <v>1178</v>
      </c>
      <c r="R351" s="29"/>
      <c r="S351" s="22" t="s">
        <v>1177</v>
      </c>
      <c r="T351" s="26">
        <v>8515</v>
      </c>
      <c r="U351" s="100">
        <v>44287</v>
      </c>
      <c r="V351" s="100">
        <v>44651</v>
      </c>
      <c r="W351" s="28">
        <v>0</v>
      </c>
    </row>
    <row r="352" spans="1:23" s="25" customFormat="1" ht="105" customHeight="1">
      <c r="A352" s="29" t="s">
        <v>1126</v>
      </c>
      <c r="B352" s="29">
        <v>80204250585</v>
      </c>
      <c r="C352" s="21" t="s">
        <v>83</v>
      </c>
      <c r="D352" s="22" t="s">
        <v>1125</v>
      </c>
      <c r="E352" s="21" t="s">
        <v>39</v>
      </c>
      <c r="F352" s="29"/>
      <c r="G352" s="29"/>
      <c r="H352" s="29"/>
      <c r="I352" s="29"/>
      <c r="J352" s="24"/>
      <c r="K352" s="29"/>
      <c r="L352" s="29"/>
      <c r="M352" s="29"/>
      <c r="N352" s="29"/>
      <c r="O352" s="29"/>
      <c r="P352" s="29"/>
      <c r="Q352" s="24" t="s">
        <v>277</v>
      </c>
      <c r="R352" s="29"/>
      <c r="S352" s="29" t="s">
        <v>278</v>
      </c>
      <c r="T352" s="26">
        <v>96000</v>
      </c>
      <c r="U352" s="100">
        <v>44197</v>
      </c>
      <c r="V352" s="100">
        <v>44561</v>
      </c>
      <c r="W352" s="28">
        <f>24000+24000+24000</f>
        <v>72000</v>
      </c>
    </row>
    <row r="353" spans="1:23" s="25" customFormat="1" ht="120" customHeight="1">
      <c r="A353" s="29" t="s">
        <v>1127</v>
      </c>
      <c r="B353" s="29">
        <v>80204250585</v>
      </c>
      <c r="C353" s="21" t="s">
        <v>83</v>
      </c>
      <c r="D353" s="22" t="s">
        <v>1128</v>
      </c>
      <c r="E353" s="21" t="s">
        <v>39</v>
      </c>
      <c r="F353" s="29"/>
      <c r="G353" s="29"/>
      <c r="H353" s="29"/>
      <c r="I353" s="29"/>
      <c r="J353" s="24"/>
      <c r="K353" s="29"/>
      <c r="L353" s="29"/>
      <c r="M353" s="29"/>
      <c r="N353" s="29"/>
      <c r="O353" s="29"/>
      <c r="P353" s="29"/>
      <c r="Q353" s="24" t="s">
        <v>281</v>
      </c>
      <c r="R353" s="29"/>
      <c r="S353" s="29" t="s">
        <v>1179</v>
      </c>
      <c r="T353" s="26">
        <v>110500</v>
      </c>
      <c r="U353" s="100">
        <v>44249</v>
      </c>
      <c r="V353" s="100">
        <v>44978</v>
      </c>
      <c r="W353" s="28">
        <f>9162.28*2+9162.28*2</f>
        <v>36649.120000000003</v>
      </c>
    </row>
    <row r="354" spans="1:23" s="25" customFormat="1" ht="255" customHeight="1">
      <c r="A354" s="29" t="s">
        <v>1129</v>
      </c>
      <c r="B354" s="29">
        <v>80204250585</v>
      </c>
      <c r="C354" s="21" t="s">
        <v>83</v>
      </c>
      <c r="D354" s="126" t="s">
        <v>2313</v>
      </c>
      <c r="E354" s="21" t="s">
        <v>51</v>
      </c>
      <c r="F354" s="29"/>
      <c r="G354" s="29"/>
      <c r="H354" s="29"/>
      <c r="I354" s="29"/>
      <c r="J354" s="24"/>
      <c r="K354" s="29"/>
      <c r="L354" s="29"/>
      <c r="M354" s="29"/>
      <c r="N354" s="29"/>
      <c r="O354" s="29"/>
      <c r="P354" s="29"/>
      <c r="Q354" s="37" t="s">
        <v>1175</v>
      </c>
      <c r="R354" s="29"/>
      <c r="S354" s="29" t="s">
        <v>1176</v>
      </c>
      <c r="T354" s="26">
        <v>1396077.16</v>
      </c>
      <c r="U354" s="100">
        <v>44287</v>
      </c>
      <c r="V354" s="100">
        <v>46112</v>
      </c>
      <c r="W354" s="28">
        <f>132+22937.95+22937.95+264+22937.95+(22937.95*3)</f>
        <v>138023.70000000001</v>
      </c>
    </row>
    <row r="355" spans="1:23" s="25" customFormat="1" ht="75" customHeight="1">
      <c r="A355" s="29" t="s">
        <v>1130</v>
      </c>
      <c r="B355" s="29">
        <v>80204250585</v>
      </c>
      <c r="C355" s="21" t="s">
        <v>83</v>
      </c>
      <c r="D355" s="22" t="s">
        <v>1594</v>
      </c>
      <c r="E355" s="21" t="s">
        <v>39</v>
      </c>
      <c r="F355" s="29"/>
      <c r="G355" s="29"/>
      <c r="H355" s="29"/>
      <c r="I355" s="29"/>
      <c r="J355" s="24"/>
      <c r="K355" s="29"/>
      <c r="L355" s="29"/>
      <c r="M355" s="29"/>
      <c r="N355" s="29"/>
      <c r="O355" s="29"/>
      <c r="P355" s="29"/>
      <c r="Q355" s="24">
        <v>11586340157</v>
      </c>
      <c r="R355" s="29"/>
      <c r="S355" s="25" t="s">
        <v>99</v>
      </c>
      <c r="T355" s="26">
        <f>41229.51*2</f>
        <v>82459.02</v>
      </c>
      <c r="U355" s="100">
        <v>44273</v>
      </c>
      <c r="V355" s="100">
        <v>45077</v>
      </c>
      <c r="W355" s="28">
        <v>0</v>
      </c>
    </row>
    <row r="356" spans="1:23" s="25" customFormat="1" ht="45" customHeight="1">
      <c r="A356" s="29" t="s">
        <v>1131</v>
      </c>
      <c r="B356" s="29">
        <v>80204250585</v>
      </c>
      <c r="C356" s="21" t="s">
        <v>83</v>
      </c>
      <c r="D356" s="22" t="s">
        <v>1132</v>
      </c>
      <c r="E356" s="21" t="s">
        <v>39</v>
      </c>
      <c r="F356" s="22"/>
      <c r="G356" s="22"/>
      <c r="H356" s="22"/>
      <c r="I356" s="22"/>
      <c r="J356" s="22"/>
      <c r="K356" s="22"/>
      <c r="L356" s="22"/>
      <c r="M356" s="22"/>
      <c r="N356" s="22"/>
      <c r="O356" s="22"/>
      <c r="P356" s="22"/>
      <c r="Q356" s="22">
        <v>10991370155</v>
      </c>
      <c r="R356" s="22"/>
      <c r="S356" s="22" t="s">
        <v>341</v>
      </c>
      <c r="T356" s="39">
        <v>110000</v>
      </c>
      <c r="U356" s="101">
        <v>44354</v>
      </c>
      <c r="V356" s="101">
        <v>44718</v>
      </c>
      <c r="W356" s="44">
        <v>27500</v>
      </c>
    </row>
    <row r="357" spans="1:23" s="25" customFormat="1" ht="45" customHeight="1">
      <c r="A357" s="29" t="s">
        <v>1133</v>
      </c>
      <c r="B357" s="29">
        <v>80204250585</v>
      </c>
      <c r="C357" s="21" t="s">
        <v>83</v>
      </c>
      <c r="D357" s="22" t="s">
        <v>1134</v>
      </c>
      <c r="E357" s="21" t="s">
        <v>48</v>
      </c>
      <c r="F357" s="29"/>
      <c r="G357" s="29"/>
      <c r="H357" s="29"/>
      <c r="I357" s="29"/>
      <c r="J357" s="24"/>
      <c r="K357" s="29"/>
      <c r="L357" s="29"/>
      <c r="M357" s="29"/>
      <c r="N357" s="29"/>
      <c r="O357" s="29"/>
      <c r="P357" s="29"/>
      <c r="Q357" s="24" t="s">
        <v>694</v>
      </c>
      <c r="R357" s="29"/>
      <c r="S357" s="29" t="s">
        <v>285</v>
      </c>
      <c r="T357" s="26">
        <v>3621</v>
      </c>
      <c r="U357" s="100">
        <v>44255</v>
      </c>
      <c r="V357" s="100">
        <v>45349</v>
      </c>
      <c r="W357" s="28">
        <v>3621</v>
      </c>
    </row>
    <row r="358" spans="1:23" s="25" customFormat="1" ht="60" customHeight="1">
      <c r="A358" s="29" t="s">
        <v>1135</v>
      </c>
      <c r="B358" s="29">
        <v>80204250585</v>
      </c>
      <c r="C358" s="21" t="s">
        <v>83</v>
      </c>
      <c r="D358" s="22" t="s">
        <v>1136</v>
      </c>
      <c r="E358" s="21" t="s">
        <v>48</v>
      </c>
      <c r="F358" s="29"/>
      <c r="G358" s="29"/>
      <c r="H358" s="29"/>
      <c r="I358" s="29"/>
      <c r="J358" s="24"/>
      <c r="K358" s="29"/>
      <c r="L358" s="29"/>
      <c r="M358" s="29"/>
      <c r="N358" s="29"/>
      <c r="O358" s="29"/>
      <c r="P358" s="29"/>
      <c r="Q358" s="24" t="s">
        <v>437</v>
      </c>
      <c r="R358" s="29"/>
      <c r="S358" s="29" t="s">
        <v>438</v>
      </c>
      <c r="T358" s="26">
        <v>30916.7</v>
      </c>
      <c r="U358" s="100">
        <v>44256</v>
      </c>
      <c r="V358" s="100">
        <v>44439</v>
      </c>
      <c r="W358" s="28">
        <f>(3312.5*2)</f>
        <v>6625</v>
      </c>
    </row>
    <row r="359" spans="1:23" s="25" customFormat="1" ht="75" customHeight="1">
      <c r="A359" s="29" t="s">
        <v>1137</v>
      </c>
      <c r="B359" s="29">
        <v>80204250585</v>
      </c>
      <c r="C359" s="21" t="s">
        <v>83</v>
      </c>
      <c r="D359" s="22" t="s">
        <v>1138</v>
      </c>
      <c r="E359" s="21" t="s">
        <v>48</v>
      </c>
      <c r="F359" s="29"/>
      <c r="G359" s="29"/>
      <c r="H359" s="29"/>
      <c r="I359" s="29"/>
      <c r="J359" s="24"/>
      <c r="K359" s="29"/>
      <c r="L359" s="29"/>
      <c r="M359" s="29"/>
      <c r="N359" s="29"/>
      <c r="O359" s="29"/>
      <c r="P359" s="29"/>
      <c r="Q359" s="24" t="s">
        <v>329</v>
      </c>
      <c r="R359" s="29"/>
      <c r="S359" s="29" t="s">
        <v>330</v>
      </c>
      <c r="T359" s="26">
        <v>15000</v>
      </c>
      <c r="U359" s="100">
        <v>44228</v>
      </c>
      <c r="V359" s="100">
        <v>44592</v>
      </c>
      <c r="W359" s="28">
        <v>15000</v>
      </c>
    </row>
    <row r="360" spans="1:23" s="25" customFormat="1" ht="96" customHeight="1">
      <c r="A360" s="29" t="s">
        <v>1153</v>
      </c>
      <c r="B360" s="29">
        <v>80204250585</v>
      </c>
      <c r="C360" s="21" t="s">
        <v>83</v>
      </c>
      <c r="D360" s="22" t="s">
        <v>1157</v>
      </c>
      <c r="E360" s="21" t="s">
        <v>48</v>
      </c>
      <c r="F360" s="29"/>
      <c r="G360" s="29"/>
      <c r="H360" s="29"/>
      <c r="I360" s="29"/>
      <c r="J360" s="24"/>
      <c r="K360" s="29"/>
      <c r="L360" s="29"/>
      <c r="M360" s="29"/>
      <c r="N360" s="29"/>
      <c r="O360" s="29"/>
      <c r="P360" s="29"/>
      <c r="Q360" s="24"/>
      <c r="R360" s="29"/>
      <c r="S360" s="29" t="s">
        <v>1154</v>
      </c>
      <c r="T360" s="26">
        <v>8000</v>
      </c>
      <c r="U360" s="100">
        <v>44287</v>
      </c>
      <c r="V360" s="100">
        <v>44651</v>
      </c>
      <c r="W360" s="28">
        <v>0</v>
      </c>
    </row>
    <row r="361" spans="1:23" s="25" customFormat="1" ht="75" customHeight="1">
      <c r="A361" s="29" t="s">
        <v>1155</v>
      </c>
      <c r="B361" s="29">
        <v>80204250585</v>
      </c>
      <c r="C361" s="21" t="s">
        <v>83</v>
      </c>
      <c r="D361" s="22" t="s">
        <v>1156</v>
      </c>
      <c r="E361" s="21" t="s">
        <v>48</v>
      </c>
      <c r="F361" s="22"/>
      <c r="G361" s="22"/>
      <c r="H361" s="22"/>
      <c r="I361" s="22"/>
      <c r="J361" s="22"/>
      <c r="K361" s="22"/>
      <c r="L361" s="22"/>
      <c r="M361" s="22"/>
      <c r="N361" s="22"/>
      <c r="O361" s="22"/>
      <c r="P361" s="22"/>
      <c r="Q361" s="24">
        <v>10701020157</v>
      </c>
      <c r="R361" s="29"/>
      <c r="S361" s="29" t="s">
        <v>526</v>
      </c>
      <c r="T361" s="26">
        <v>4200</v>
      </c>
      <c r="U361" s="100">
        <v>44316</v>
      </c>
      <c r="V361" s="100">
        <v>45045</v>
      </c>
      <c r="W361" s="28">
        <v>1050</v>
      </c>
    </row>
    <row r="362" spans="1:23" s="25" customFormat="1" ht="90" customHeight="1">
      <c r="A362" s="29" t="s">
        <v>1158</v>
      </c>
      <c r="B362" s="29">
        <v>80204250585</v>
      </c>
      <c r="C362" s="21" t="s">
        <v>83</v>
      </c>
      <c r="D362" s="22" t="s">
        <v>1170</v>
      </c>
      <c r="E362" s="21" t="s">
        <v>48</v>
      </c>
      <c r="F362" s="29"/>
      <c r="G362" s="29"/>
      <c r="H362" s="29"/>
      <c r="I362" s="29"/>
      <c r="J362" s="24"/>
      <c r="K362" s="29"/>
      <c r="L362" s="29"/>
      <c r="M362" s="29"/>
      <c r="N362" s="29"/>
      <c r="O362" s="29"/>
      <c r="P362" s="29"/>
      <c r="Q362" s="37" t="s">
        <v>1172</v>
      </c>
      <c r="R362" s="29"/>
      <c r="S362" s="29" t="s">
        <v>1173</v>
      </c>
      <c r="T362" s="26">
        <v>750</v>
      </c>
      <c r="U362" s="100">
        <v>44236</v>
      </c>
      <c r="V362" s="100">
        <v>44803</v>
      </c>
      <c r="W362" s="28">
        <v>0</v>
      </c>
    </row>
    <row r="363" spans="1:23" s="25" customFormat="1" ht="75" customHeight="1">
      <c r="A363" s="29" t="s">
        <v>1159</v>
      </c>
      <c r="B363" s="29">
        <v>80204250585</v>
      </c>
      <c r="C363" s="21" t="s">
        <v>83</v>
      </c>
      <c r="D363" s="22" t="s">
        <v>1160</v>
      </c>
      <c r="E363" s="21" t="s">
        <v>48</v>
      </c>
      <c r="F363" s="29"/>
      <c r="G363" s="29"/>
      <c r="H363" s="29"/>
      <c r="I363" s="29"/>
      <c r="J363" s="24"/>
      <c r="K363" s="29"/>
      <c r="L363" s="29"/>
      <c r="M363" s="29"/>
      <c r="N363" s="29"/>
      <c r="O363" s="29"/>
      <c r="P363" s="29"/>
      <c r="Q363" s="37" t="s">
        <v>248</v>
      </c>
      <c r="R363" s="29"/>
      <c r="S363" s="29" t="s">
        <v>385</v>
      </c>
      <c r="T363" s="26">
        <v>625</v>
      </c>
      <c r="U363" s="100">
        <v>44232</v>
      </c>
      <c r="V363" s="100">
        <v>44232</v>
      </c>
      <c r="W363" s="28">
        <v>625</v>
      </c>
    </row>
    <row r="364" spans="1:23" s="25" customFormat="1" ht="60" customHeight="1">
      <c r="A364" s="29" t="s">
        <v>1161</v>
      </c>
      <c r="B364" s="29">
        <v>80204250585</v>
      </c>
      <c r="C364" s="21" t="s">
        <v>83</v>
      </c>
      <c r="D364" s="22" t="s">
        <v>1162</v>
      </c>
      <c r="E364" s="21" t="s">
        <v>48</v>
      </c>
      <c r="F364" s="29"/>
      <c r="G364" s="29"/>
      <c r="H364" s="29"/>
      <c r="I364" s="29"/>
      <c r="J364" s="24"/>
      <c r="K364" s="29"/>
      <c r="L364" s="29"/>
      <c r="M364" s="29"/>
      <c r="N364" s="29"/>
      <c r="O364" s="29"/>
      <c r="P364" s="29"/>
      <c r="Q364" s="37" t="s">
        <v>384</v>
      </c>
      <c r="R364" s="42"/>
      <c r="S364" s="42" t="s">
        <v>490</v>
      </c>
      <c r="T364" s="26">
        <v>350</v>
      </c>
      <c r="U364" s="100">
        <v>44232</v>
      </c>
      <c r="V364" s="100">
        <v>44232</v>
      </c>
      <c r="W364" s="28">
        <v>350</v>
      </c>
    </row>
    <row r="365" spans="1:23" s="25" customFormat="1" ht="75" customHeight="1">
      <c r="A365" s="29" t="s">
        <v>1163</v>
      </c>
      <c r="B365" s="29">
        <v>80204250585</v>
      </c>
      <c r="C365" s="21" t="s">
        <v>83</v>
      </c>
      <c r="D365" s="22" t="s">
        <v>1164</v>
      </c>
      <c r="E365" s="21" t="s">
        <v>48</v>
      </c>
      <c r="F365" s="29"/>
      <c r="G365" s="29"/>
      <c r="H365" s="29"/>
      <c r="I365" s="29"/>
      <c r="J365" s="24"/>
      <c r="K365" s="29"/>
      <c r="L365" s="29"/>
      <c r="M365" s="29"/>
      <c r="N365" s="29"/>
      <c r="O365" s="29"/>
      <c r="P365" s="29"/>
      <c r="Q365" s="37" t="s">
        <v>248</v>
      </c>
      <c r="R365" s="29"/>
      <c r="S365" s="29" t="s">
        <v>385</v>
      </c>
      <c r="T365" s="26">
        <v>225</v>
      </c>
      <c r="U365" s="100">
        <v>44216</v>
      </c>
      <c r="V365" s="100">
        <v>44216</v>
      </c>
      <c r="W365" s="28">
        <v>225</v>
      </c>
    </row>
    <row r="366" spans="1:23" s="25" customFormat="1" ht="79.5" customHeight="1">
      <c r="A366" s="29" t="s">
        <v>1165</v>
      </c>
      <c r="B366" s="29">
        <v>80204250585</v>
      </c>
      <c r="C366" s="21" t="s">
        <v>83</v>
      </c>
      <c r="D366" s="22" t="s">
        <v>1166</v>
      </c>
      <c r="E366" s="21" t="s">
        <v>48</v>
      </c>
      <c r="F366" s="29"/>
      <c r="G366" s="29"/>
      <c r="H366" s="29"/>
      <c r="I366" s="29"/>
      <c r="J366" s="24"/>
      <c r="K366" s="29"/>
      <c r="L366" s="29"/>
      <c r="M366" s="29"/>
      <c r="N366" s="29"/>
      <c r="O366" s="29"/>
      <c r="P366" s="29"/>
      <c r="Q366" s="37" t="s">
        <v>384</v>
      </c>
      <c r="R366" s="42"/>
      <c r="S366" s="42" t="s">
        <v>490</v>
      </c>
      <c r="T366" s="26">
        <v>350</v>
      </c>
      <c r="U366" s="100">
        <v>44216</v>
      </c>
      <c r="V366" s="100">
        <v>44216</v>
      </c>
      <c r="W366" s="28">
        <v>350</v>
      </c>
    </row>
    <row r="367" spans="1:23" s="25" customFormat="1" ht="75" customHeight="1">
      <c r="A367" s="29" t="s">
        <v>1167</v>
      </c>
      <c r="B367" s="29">
        <v>80204250585</v>
      </c>
      <c r="C367" s="21" t="s">
        <v>83</v>
      </c>
      <c r="D367" s="22" t="s">
        <v>1168</v>
      </c>
      <c r="E367" s="21" t="s">
        <v>48</v>
      </c>
      <c r="F367" s="29"/>
      <c r="G367" s="29"/>
      <c r="H367" s="29"/>
      <c r="I367" s="29"/>
      <c r="J367" s="24"/>
      <c r="K367" s="29"/>
      <c r="L367" s="29"/>
      <c r="M367" s="29"/>
      <c r="N367" s="29"/>
      <c r="O367" s="29"/>
      <c r="P367" s="29"/>
      <c r="Q367" s="37" t="s">
        <v>248</v>
      </c>
      <c r="R367" s="29"/>
      <c r="S367" s="29" t="s">
        <v>385</v>
      </c>
      <c r="T367" s="26">
        <v>400</v>
      </c>
      <c r="U367" s="100">
        <v>44216</v>
      </c>
      <c r="V367" s="100">
        <v>44216</v>
      </c>
      <c r="W367" s="28">
        <v>400</v>
      </c>
    </row>
    <row r="368" spans="1:23" s="25" customFormat="1" ht="90" customHeight="1">
      <c r="A368" s="29" t="s">
        <v>1169</v>
      </c>
      <c r="B368" s="29">
        <v>80204250585</v>
      </c>
      <c r="C368" s="21" t="s">
        <v>83</v>
      </c>
      <c r="D368" s="21" t="s">
        <v>1180</v>
      </c>
      <c r="E368" s="21" t="s">
        <v>48</v>
      </c>
      <c r="F368" s="29"/>
      <c r="G368" s="29"/>
      <c r="H368" s="29"/>
      <c r="I368" s="29"/>
      <c r="J368" s="24"/>
      <c r="K368" s="29"/>
      <c r="L368" s="29"/>
      <c r="M368" s="127"/>
      <c r="N368" s="128"/>
      <c r="O368" s="127"/>
      <c r="P368" s="128"/>
      <c r="Q368" s="129" t="s">
        <v>714</v>
      </c>
      <c r="R368" s="130"/>
      <c r="S368" s="131" t="s">
        <v>2315</v>
      </c>
      <c r="T368" s="26">
        <v>2400</v>
      </c>
      <c r="U368" s="100">
        <v>44214</v>
      </c>
      <c r="V368" s="100">
        <v>44245</v>
      </c>
      <c r="W368" s="28">
        <v>2400</v>
      </c>
    </row>
    <row r="369" spans="1:23" s="55" customFormat="1" ht="90" customHeight="1">
      <c r="A369" s="29" t="s">
        <v>1169</v>
      </c>
      <c r="B369" s="29">
        <v>80204250585</v>
      </c>
      <c r="C369" s="21" t="s">
        <v>83</v>
      </c>
      <c r="D369" s="21" t="s">
        <v>1180</v>
      </c>
      <c r="E369" s="21" t="s">
        <v>48</v>
      </c>
      <c r="F369" s="29"/>
      <c r="G369" s="29"/>
      <c r="H369" s="29"/>
      <c r="I369" s="29"/>
      <c r="J369" s="24"/>
      <c r="K369" s="29"/>
      <c r="L369" s="29"/>
      <c r="M369" s="127"/>
      <c r="N369" s="128"/>
      <c r="O369" s="127"/>
      <c r="P369" s="128"/>
      <c r="Q369" s="129" t="s">
        <v>843</v>
      </c>
      <c r="R369" s="130"/>
      <c r="S369" s="131" t="s">
        <v>842</v>
      </c>
      <c r="T369" s="26">
        <v>600</v>
      </c>
      <c r="U369" s="100">
        <v>44214</v>
      </c>
      <c r="V369" s="100">
        <v>44245</v>
      </c>
      <c r="W369" s="28">
        <v>600</v>
      </c>
    </row>
    <row r="370" spans="1:23" s="55" customFormat="1" ht="30" customHeight="1">
      <c r="A370" s="29" t="s">
        <v>1183</v>
      </c>
      <c r="B370" s="29">
        <v>80204250585</v>
      </c>
      <c r="C370" s="21" t="s">
        <v>83</v>
      </c>
      <c r="D370" s="22" t="s">
        <v>1184</v>
      </c>
      <c r="E370" s="21" t="s">
        <v>48</v>
      </c>
      <c r="F370" s="29"/>
      <c r="G370" s="29"/>
      <c r="H370" s="29"/>
      <c r="I370" s="29"/>
      <c r="J370" s="24"/>
      <c r="K370" s="29"/>
      <c r="L370" s="29"/>
      <c r="M370" s="29"/>
      <c r="N370" s="29"/>
      <c r="O370" s="29"/>
      <c r="P370" s="29"/>
      <c r="Q370" s="37" t="s">
        <v>186</v>
      </c>
      <c r="R370" s="33"/>
      <c r="S370" s="25" t="s">
        <v>195</v>
      </c>
      <c r="T370" s="26">
        <v>33341.25</v>
      </c>
      <c r="U370" s="100">
        <v>44228</v>
      </c>
      <c r="V370" s="100">
        <v>44592</v>
      </c>
      <c r="W370" s="28">
        <v>33341.25</v>
      </c>
    </row>
    <row r="371" spans="1:23" s="25" customFormat="1" ht="105" customHeight="1">
      <c r="A371" s="29" t="s">
        <v>1185</v>
      </c>
      <c r="B371" s="29">
        <v>80204250585</v>
      </c>
      <c r="C371" s="21" t="s">
        <v>83</v>
      </c>
      <c r="D371" s="21" t="s">
        <v>948</v>
      </c>
      <c r="E371" s="21" t="s">
        <v>48</v>
      </c>
      <c r="F371" s="29"/>
      <c r="G371" s="29"/>
      <c r="H371" s="29"/>
      <c r="I371" s="29"/>
      <c r="J371" s="24" t="s">
        <v>754</v>
      </c>
      <c r="K371" s="29"/>
      <c r="L371" s="21" t="s">
        <v>949</v>
      </c>
      <c r="M371" s="29"/>
      <c r="N371" s="29"/>
      <c r="O371" s="29"/>
      <c r="P371" s="29"/>
      <c r="Q371" s="24" t="s">
        <v>754</v>
      </c>
      <c r="R371" s="29"/>
      <c r="S371" s="29" t="s">
        <v>949</v>
      </c>
      <c r="T371" s="28">
        <v>10980</v>
      </c>
      <c r="U371" s="100">
        <v>44136</v>
      </c>
      <c r="V371" s="100">
        <v>44316</v>
      </c>
      <c r="W371" s="28">
        <f>922.13+922.13</f>
        <v>1844.26</v>
      </c>
    </row>
    <row r="372" spans="1:23" s="63" customFormat="1" ht="60" customHeight="1">
      <c r="A372" s="29" t="s">
        <v>1186</v>
      </c>
      <c r="B372" s="29">
        <v>80204250585</v>
      </c>
      <c r="C372" s="21" t="s">
        <v>83</v>
      </c>
      <c r="D372" s="21" t="s">
        <v>738</v>
      </c>
      <c r="E372" s="21" t="s">
        <v>39</v>
      </c>
      <c r="F372" s="29"/>
      <c r="G372" s="29"/>
      <c r="H372" s="29"/>
      <c r="I372" s="29"/>
      <c r="J372" s="24" t="s">
        <v>212</v>
      </c>
      <c r="K372" s="29"/>
      <c r="L372" s="21" t="s">
        <v>493</v>
      </c>
      <c r="M372" s="29"/>
      <c r="N372" s="29"/>
      <c r="O372" s="29"/>
      <c r="P372" s="29"/>
      <c r="Q372" s="24" t="s">
        <v>212</v>
      </c>
      <c r="R372" s="29"/>
      <c r="S372" s="29" t="s">
        <v>493</v>
      </c>
      <c r="T372" s="28">
        <v>6768.89</v>
      </c>
      <c r="U372" s="100">
        <v>44242</v>
      </c>
      <c r="V372" s="100">
        <v>44606</v>
      </c>
      <c r="W372" s="28">
        <v>6768.84</v>
      </c>
    </row>
    <row r="373" spans="1:23" s="25" customFormat="1" ht="90" customHeight="1">
      <c r="A373" s="29" t="s">
        <v>1187</v>
      </c>
      <c r="B373" s="29">
        <v>80204250585</v>
      </c>
      <c r="C373" s="21" t="s">
        <v>83</v>
      </c>
      <c r="D373" s="21" t="s">
        <v>1188</v>
      </c>
      <c r="E373" s="21" t="s">
        <v>51</v>
      </c>
      <c r="F373" s="21" t="s">
        <v>1189</v>
      </c>
      <c r="G373" s="29"/>
      <c r="H373" s="21" t="s">
        <v>1190</v>
      </c>
      <c r="I373" s="21" t="s">
        <v>1191</v>
      </c>
      <c r="J373" s="24"/>
      <c r="K373" s="29"/>
      <c r="L373" s="29"/>
      <c r="M373" s="21" t="s">
        <v>1189</v>
      </c>
      <c r="N373" s="29"/>
      <c r="O373" s="21" t="s">
        <v>1190</v>
      </c>
      <c r="P373" s="21" t="s">
        <v>1191</v>
      </c>
      <c r="Q373" s="24"/>
      <c r="R373" s="29"/>
      <c r="S373" s="29"/>
      <c r="T373" s="28">
        <v>494418</v>
      </c>
      <c r="U373" s="100">
        <v>44231</v>
      </c>
      <c r="V373" s="100">
        <v>44408</v>
      </c>
      <c r="W373" s="28">
        <v>494418</v>
      </c>
    </row>
    <row r="374" spans="1:23" s="25" customFormat="1" ht="60" customHeight="1">
      <c r="A374" s="29" t="s">
        <v>1192</v>
      </c>
      <c r="B374" s="21" t="s">
        <v>88</v>
      </c>
      <c r="C374" s="21" t="s">
        <v>83</v>
      </c>
      <c r="D374" s="21" t="s">
        <v>1193</v>
      </c>
      <c r="E374" s="21" t="s">
        <v>48</v>
      </c>
      <c r="F374" s="29"/>
      <c r="G374" s="29"/>
      <c r="H374" s="29"/>
      <c r="I374" s="29"/>
      <c r="J374" s="24" t="s">
        <v>210</v>
      </c>
      <c r="K374" s="29"/>
      <c r="L374" s="21" t="s">
        <v>488</v>
      </c>
      <c r="M374" s="29"/>
      <c r="N374" s="29"/>
      <c r="O374" s="29"/>
      <c r="P374" s="29"/>
      <c r="Q374" s="24" t="s">
        <v>210</v>
      </c>
      <c r="R374" s="29"/>
      <c r="S374" s="21" t="s">
        <v>488</v>
      </c>
      <c r="T374" s="28">
        <v>23278.69</v>
      </c>
      <c r="U374" s="100">
        <v>44256</v>
      </c>
      <c r="V374" s="100">
        <v>44620</v>
      </c>
      <c r="W374" s="28">
        <f>845.35+409+416.86+430.24+402.21+413.95+423.26+(1340.49*2)</f>
        <v>6021.85</v>
      </c>
    </row>
    <row r="375" spans="1:23" s="25" customFormat="1" ht="120" customHeight="1">
      <c r="A375" s="47" t="s">
        <v>1302</v>
      </c>
      <c r="B375" s="29" t="s">
        <v>88</v>
      </c>
      <c r="C375" s="21" t="s">
        <v>83</v>
      </c>
      <c r="D375" s="21" t="s">
        <v>1194</v>
      </c>
      <c r="E375" s="21" t="s">
        <v>51</v>
      </c>
      <c r="F375" s="29"/>
      <c r="G375" s="29"/>
      <c r="H375" s="29"/>
      <c r="I375" s="29"/>
      <c r="J375" s="24" t="s">
        <v>215</v>
      </c>
      <c r="K375" s="29"/>
      <c r="L375" s="21" t="s">
        <v>1195</v>
      </c>
      <c r="M375" s="29"/>
      <c r="N375" s="29"/>
      <c r="O375" s="29"/>
      <c r="P375" s="29"/>
      <c r="Q375" s="24" t="s">
        <v>215</v>
      </c>
      <c r="R375" s="29"/>
      <c r="S375" s="21" t="s">
        <v>1195</v>
      </c>
      <c r="T375" s="28">
        <v>116643.4</v>
      </c>
      <c r="U375" s="100">
        <v>44287</v>
      </c>
      <c r="V375" s="100">
        <v>44469</v>
      </c>
      <c r="W375" s="28">
        <f>16061.7+16165.15+16289.28+16613.41+18075.45+17654.77</f>
        <v>100859.76</v>
      </c>
    </row>
    <row r="376" spans="1:23" s="25" customFormat="1" ht="60" customHeight="1">
      <c r="A376" s="29" t="s">
        <v>1196</v>
      </c>
      <c r="B376" s="21" t="s">
        <v>88</v>
      </c>
      <c r="C376" s="21" t="s">
        <v>83</v>
      </c>
      <c r="D376" s="21" t="s">
        <v>1197</v>
      </c>
      <c r="E376" s="21" t="s">
        <v>39</v>
      </c>
      <c r="F376" s="29"/>
      <c r="G376" s="29"/>
      <c r="H376" s="29"/>
      <c r="I376" s="29"/>
      <c r="J376" s="24" t="s">
        <v>206</v>
      </c>
      <c r="K376" s="29"/>
      <c r="L376" s="22" t="s">
        <v>745</v>
      </c>
      <c r="M376" s="29"/>
      <c r="N376" s="29"/>
      <c r="O376" s="29"/>
      <c r="P376" s="29"/>
      <c r="Q376" s="24" t="s">
        <v>206</v>
      </c>
      <c r="R376" s="29"/>
      <c r="S376" s="29" t="s">
        <v>745</v>
      </c>
      <c r="T376" s="28">
        <v>4680</v>
      </c>
      <c r="U376" s="100">
        <v>44302</v>
      </c>
      <c r="V376" s="100">
        <v>44666</v>
      </c>
      <c r="W376" s="28">
        <v>4680</v>
      </c>
    </row>
    <row r="377" spans="1:23" s="25" customFormat="1" ht="150" customHeight="1">
      <c r="A377" s="29" t="s">
        <v>1198</v>
      </c>
      <c r="B377" s="21" t="s">
        <v>88</v>
      </c>
      <c r="C377" s="21" t="s">
        <v>83</v>
      </c>
      <c r="D377" s="21" t="s">
        <v>1585</v>
      </c>
      <c r="E377" s="21" t="s">
        <v>39</v>
      </c>
      <c r="F377" s="29"/>
      <c r="G377" s="29"/>
      <c r="H377" s="29"/>
      <c r="I377" s="29"/>
      <c r="J377" s="24" t="s">
        <v>1199</v>
      </c>
      <c r="K377" s="29"/>
      <c r="L377" s="50" t="s">
        <v>1200</v>
      </c>
      <c r="M377" s="29"/>
      <c r="N377" s="29"/>
      <c r="O377" s="29"/>
      <c r="P377" s="29"/>
      <c r="Q377" s="24" t="s">
        <v>1303</v>
      </c>
      <c r="R377" s="64"/>
      <c r="S377" s="64" t="s">
        <v>1200</v>
      </c>
      <c r="T377" s="28">
        <v>1734050</v>
      </c>
      <c r="U377" s="100">
        <v>44440</v>
      </c>
      <c r="V377" s="100">
        <v>45351</v>
      </c>
      <c r="W377" s="114">
        <f>12978.72+58994.17</f>
        <v>71972.89</v>
      </c>
    </row>
    <row r="378" spans="1:23" s="25" customFormat="1" ht="60" customHeight="1">
      <c r="A378" s="29" t="s">
        <v>1201</v>
      </c>
      <c r="B378" s="21" t="s">
        <v>88</v>
      </c>
      <c r="C378" s="21" t="s">
        <v>83</v>
      </c>
      <c r="D378" s="22" t="s">
        <v>1202</v>
      </c>
      <c r="E378" s="21" t="s">
        <v>48</v>
      </c>
      <c r="F378" s="29"/>
      <c r="G378" s="29"/>
      <c r="H378" s="29"/>
      <c r="I378" s="29"/>
      <c r="J378" s="24"/>
      <c r="K378" s="29"/>
      <c r="L378" s="29"/>
      <c r="M378" s="29"/>
      <c r="N378" s="29"/>
      <c r="O378" s="29"/>
      <c r="P378" s="29"/>
      <c r="Q378" s="24" t="s">
        <v>104</v>
      </c>
      <c r="S378" s="25" t="s">
        <v>105</v>
      </c>
      <c r="T378" s="26">
        <v>600</v>
      </c>
      <c r="U378" s="100">
        <v>44216</v>
      </c>
      <c r="V378" s="100">
        <v>44216</v>
      </c>
      <c r="W378" s="28">
        <v>600</v>
      </c>
    </row>
    <row r="379" spans="1:23" s="25" customFormat="1" ht="90" customHeight="1">
      <c r="A379" s="29" t="s">
        <v>1203</v>
      </c>
      <c r="B379" s="21" t="s">
        <v>88</v>
      </c>
      <c r="C379" s="21" t="s">
        <v>83</v>
      </c>
      <c r="D379" s="22" t="s">
        <v>1204</v>
      </c>
      <c r="E379" s="21" t="s">
        <v>48</v>
      </c>
      <c r="F379" s="29"/>
      <c r="G379" s="29"/>
      <c r="H379" s="29"/>
      <c r="I379" s="29"/>
      <c r="J379" s="24"/>
      <c r="K379" s="29"/>
      <c r="L379" s="29"/>
      <c r="M379" s="29"/>
      <c r="N379" s="29"/>
      <c r="O379" s="29"/>
      <c r="P379" s="29"/>
      <c r="Q379" s="24" t="s">
        <v>206</v>
      </c>
      <c r="R379" s="27"/>
      <c r="S379" s="25" t="s">
        <v>207</v>
      </c>
      <c r="T379" s="26">
        <v>160</v>
      </c>
      <c r="U379" s="100">
        <v>44206</v>
      </c>
      <c r="V379" s="100">
        <v>44206</v>
      </c>
      <c r="W379" s="28">
        <v>160</v>
      </c>
    </row>
    <row r="380" spans="1:23" s="25" customFormat="1" ht="225" customHeight="1">
      <c r="A380" s="29" t="s">
        <v>1205</v>
      </c>
      <c r="B380" s="21" t="s">
        <v>88</v>
      </c>
      <c r="C380" s="21" t="s">
        <v>83</v>
      </c>
      <c r="D380" s="22" t="s">
        <v>1206</v>
      </c>
      <c r="E380" s="21" t="s">
        <v>48</v>
      </c>
      <c r="F380" s="29"/>
      <c r="G380" s="29"/>
      <c r="H380" s="29"/>
      <c r="I380" s="29"/>
      <c r="J380" s="21" t="s">
        <v>1207</v>
      </c>
      <c r="K380" s="29"/>
      <c r="L380" s="21" t="s">
        <v>1208</v>
      </c>
      <c r="M380" s="29"/>
      <c r="N380" s="29"/>
      <c r="O380" s="29"/>
      <c r="P380" s="29"/>
      <c r="Q380" s="21" t="s">
        <v>289</v>
      </c>
      <c r="R380" s="29"/>
      <c r="S380" s="29" t="s">
        <v>1209</v>
      </c>
      <c r="T380" s="26">
        <v>5200</v>
      </c>
      <c r="U380" s="101">
        <v>44293</v>
      </c>
      <c r="V380" s="101">
        <v>44469</v>
      </c>
      <c r="W380" s="28">
        <v>0</v>
      </c>
    </row>
    <row r="381" spans="1:23" s="25" customFormat="1" ht="60" customHeight="1">
      <c r="A381" s="42" t="s">
        <v>1212</v>
      </c>
      <c r="B381" s="21">
        <v>80204250585</v>
      </c>
      <c r="C381" s="22" t="s">
        <v>267</v>
      </c>
      <c r="D381" s="22" t="s">
        <v>1213</v>
      </c>
      <c r="E381" s="21" t="s">
        <v>48</v>
      </c>
      <c r="F381" s="22"/>
      <c r="G381" s="22"/>
      <c r="H381" s="22"/>
      <c r="I381" s="22"/>
      <c r="J381" s="22"/>
      <c r="K381" s="22"/>
      <c r="L381" s="22"/>
      <c r="M381" s="22"/>
      <c r="N381" s="22"/>
      <c r="O381" s="22"/>
      <c r="P381" s="22"/>
      <c r="Q381" s="22">
        <v>5231661009</v>
      </c>
      <c r="R381" s="22"/>
      <c r="S381" s="22" t="s">
        <v>785</v>
      </c>
      <c r="T381" s="39">
        <v>1200</v>
      </c>
      <c r="U381" s="101">
        <v>44315</v>
      </c>
      <c r="V381" s="101">
        <v>44343</v>
      </c>
      <c r="W381" s="44">
        <f>1200</f>
        <v>1200</v>
      </c>
    </row>
    <row r="382" spans="1:23" s="25" customFormat="1" ht="75" customHeight="1">
      <c r="A382" s="42" t="s">
        <v>1216</v>
      </c>
      <c r="B382" s="21">
        <v>80204250585</v>
      </c>
      <c r="C382" s="22" t="s">
        <v>267</v>
      </c>
      <c r="D382" s="22" t="s">
        <v>1217</v>
      </c>
      <c r="E382" s="21" t="s">
        <v>39</v>
      </c>
      <c r="F382" s="22"/>
      <c r="G382" s="22"/>
      <c r="H382" s="22"/>
      <c r="I382" s="22"/>
      <c r="J382" s="22"/>
      <c r="K382" s="22"/>
      <c r="L382" s="22"/>
      <c r="M382" s="22"/>
      <c r="N382" s="22"/>
      <c r="O382" s="22"/>
      <c r="P382" s="22"/>
      <c r="Q382" s="22">
        <v>735000572</v>
      </c>
      <c r="R382" s="22"/>
      <c r="S382" s="22" t="s">
        <v>515</v>
      </c>
      <c r="T382" s="39">
        <v>2560</v>
      </c>
      <c r="U382" s="101">
        <v>44348</v>
      </c>
      <c r="V382" s="101">
        <v>45077</v>
      </c>
      <c r="W382" s="44">
        <v>1273.5999999999999</v>
      </c>
    </row>
    <row r="383" spans="1:23" s="25" customFormat="1" ht="90" customHeight="1">
      <c r="A383" s="42" t="s">
        <v>1218</v>
      </c>
      <c r="B383" s="21">
        <v>80204250585</v>
      </c>
      <c r="C383" s="22" t="s">
        <v>267</v>
      </c>
      <c r="D383" s="22" t="s">
        <v>1219</v>
      </c>
      <c r="E383" s="21" t="s">
        <v>39</v>
      </c>
      <c r="F383" s="22"/>
      <c r="G383" s="22"/>
      <c r="H383" s="22"/>
      <c r="I383" s="22"/>
      <c r="J383" s="22"/>
      <c r="K383" s="22"/>
      <c r="L383" s="22"/>
      <c r="M383" s="22"/>
      <c r="N383" s="22"/>
      <c r="O383" s="22"/>
      <c r="P383" s="22"/>
      <c r="Q383" s="22">
        <v>735000572</v>
      </c>
      <c r="R383" s="22"/>
      <c r="S383" s="22" t="s">
        <v>515</v>
      </c>
      <c r="T383" s="39">
        <v>11800</v>
      </c>
      <c r="U383" s="101">
        <v>44325</v>
      </c>
      <c r="V383" s="101">
        <v>45054</v>
      </c>
      <c r="W383" s="44">
        <f>1467.63+1467.63</f>
        <v>2935.26</v>
      </c>
    </row>
    <row r="384" spans="1:23" s="25" customFormat="1" ht="90" customHeight="1">
      <c r="A384" s="42" t="s">
        <v>1220</v>
      </c>
      <c r="B384" s="21">
        <v>80204250585</v>
      </c>
      <c r="C384" s="22" t="s">
        <v>267</v>
      </c>
      <c r="D384" s="22" t="s">
        <v>1221</v>
      </c>
      <c r="E384" s="21" t="s">
        <v>48</v>
      </c>
      <c r="F384" s="22"/>
      <c r="G384" s="22"/>
      <c r="H384" s="22"/>
      <c r="I384" s="22"/>
      <c r="J384" s="22"/>
      <c r="K384" s="22"/>
      <c r="L384" s="22"/>
      <c r="M384" s="22"/>
      <c r="N384" s="22"/>
      <c r="O384" s="22"/>
      <c r="P384" s="22"/>
      <c r="Q384" s="22">
        <v>3558340406</v>
      </c>
      <c r="R384" s="22"/>
      <c r="S384" s="22" t="s">
        <v>522</v>
      </c>
      <c r="T384" s="39">
        <v>5100</v>
      </c>
      <c r="U384" s="101">
        <v>44378</v>
      </c>
      <c r="V384" s="101">
        <v>45107</v>
      </c>
      <c r="W384" s="44">
        <v>0</v>
      </c>
    </row>
    <row r="385" spans="1:23" s="25" customFormat="1" ht="150" customHeight="1">
      <c r="A385" s="42" t="s">
        <v>1224</v>
      </c>
      <c r="B385" s="21">
        <v>80204250585</v>
      </c>
      <c r="C385" s="22" t="s">
        <v>267</v>
      </c>
      <c r="D385" s="22" t="s">
        <v>1310</v>
      </c>
      <c r="E385" s="21" t="s">
        <v>51</v>
      </c>
      <c r="F385" s="70" t="s">
        <v>1311</v>
      </c>
      <c r="G385" s="66"/>
      <c r="H385" s="21" t="s">
        <v>1312</v>
      </c>
      <c r="I385" s="21" t="s">
        <v>838</v>
      </c>
      <c r="J385" s="66"/>
      <c r="K385" s="66"/>
      <c r="L385" s="66"/>
      <c r="M385" s="70" t="s">
        <v>1311</v>
      </c>
      <c r="N385" s="66"/>
      <c r="O385" s="21" t="s">
        <v>1312</v>
      </c>
      <c r="P385" s="21" t="s">
        <v>838</v>
      </c>
      <c r="Q385" s="24"/>
      <c r="R385" s="66"/>
      <c r="S385" s="66"/>
      <c r="T385" s="28">
        <v>70251.570000000007</v>
      </c>
      <c r="U385" s="102">
        <v>44317</v>
      </c>
      <c r="V385" s="102">
        <v>45412</v>
      </c>
      <c r="W385" s="44">
        <f>214.21+757.07+757.07+214.21+1206.13+757.07+757.07+214.21+1427.69+757.07+1427.69+757.07</f>
        <v>9246.5600000000013</v>
      </c>
    </row>
    <row r="386" spans="1:23" s="25" customFormat="1" ht="75" customHeight="1">
      <c r="A386" s="42" t="s">
        <v>1225</v>
      </c>
      <c r="B386" s="21">
        <v>80204250585</v>
      </c>
      <c r="C386" s="22" t="s">
        <v>267</v>
      </c>
      <c r="D386" s="22" t="s">
        <v>1226</v>
      </c>
      <c r="E386" s="21" t="s">
        <v>48</v>
      </c>
      <c r="F386" s="22"/>
      <c r="G386" s="22"/>
      <c r="H386" s="22"/>
      <c r="I386" s="22"/>
      <c r="J386" s="22"/>
      <c r="K386" s="22"/>
      <c r="L386" s="22"/>
      <c r="M386" s="22"/>
      <c r="N386" s="22"/>
      <c r="O386" s="22"/>
      <c r="P386" s="22"/>
      <c r="Q386" s="22">
        <v>2936070982</v>
      </c>
      <c r="R386" s="22"/>
      <c r="S386" s="22" t="s">
        <v>1227</v>
      </c>
      <c r="T386" s="44">
        <v>255</v>
      </c>
      <c r="U386" s="101">
        <v>44344</v>
      </c>
      <c r="V386" s="101">
        <v>44354</v>
      </c>
      <c r="W386" s="44">
        <f>255</f>
        <v>255</v>
      </c>
    </row>
    <row r="387" spans="1:23" s="25" customFormat="1" ht="75" customHeight="1">
      <c r="A387" s="42" t="s">
        <v>1228</v>
      </c>
      <c r="B387" s="21">
        <v>80204250585</v>
      </c>
      <c r="C387" s="22" t="s">
        <v>267</v>
      </c>
      <c r="D387" s="22" t="s">
        <v>1229</v>
      </c>
      <c r="E387" s="21" t="s">
        <v>48</v>
      </c>
      <c r="F387" s="22"/>
      <c r="G387" s="22"/>
      <c r="H387" s="22"/>
      <c r="I387" s="22"/>
      <c r="J387" s="22"/>
      <c r="K387" s="22"/>
      <c r="L387" s="22"/>
      <c r="M387" s="22"/>
      <c r="N387" s="22"/>
      <c r="O387" s="22"/>
      <c r="P387" s="22"/>
      <c r="Q387" s="22">
        <v>2936070982</v>
      </c>
      <c r="R387" s="22"/>
      <c r="S387" s="22" t="s">
        <v>1227</v>
      </c>
      <c r="T387" s="44">
        <v>510.91</v>
      </c>
      <c r="U387" s="101">
        <v>44294</v>
      </c>
      <c r="V387" s="101">
        <v>44302</v>
      </c>
      <c r="W387" s="44">
        <v>510.9</v>
      </c>
    </row>
    <row r="388" spans="1:23" s="25" customFormat="1" ht="75" customHeight="1">
      <c r="A388" s="42" t="s">
        <v>1233</v>
      </c>
      <c r="B388" s="21">
        <v>80204250585</v>
      </c>
      <c r="C388" s="22" t="s">
        <v>267</v>
      </c>
      <c r="D388" s="22" t="s">
        <v>1234</v>
      </c>
      <c r="E388" s="21" t="s">
        <v>39</v>
      </c>
      <c r="F388" s="22"/>
      <c r="G388" s="22"/>
      <c r="H388" s="22"/>
      <c r="I388" s="22"/>
      <c r="J388" s="22"/>
      <c r="K388" s="22"/>
      <c r="L388" s="22"/>
      <c r="M388" s="22"/>
      <c r="N388" s="22"/>
      <c r="O388" s="22"/>
      <c r="P388" s="22"/>
      <c r="Q388" s="22">
        <v>3765020965</v>
      </c>
      <c r="R388" s="22"/>
      <c r="S388" s="22" t="s">
        <v>1235</v>
      </c>
      <c r="T388" s="39">
        <v>37529</v>
      </c>
      <c r="U388" s="101">
        <v>44348</v>
      </c>
      <c r="V388" s="101">
        <v>45077</v>
      </c>
      <c r="W388" s="44">
        <f>(4691.1*2)</f>
        <v>9382.2000000000007</v>
      </c>
    </row>
    <row r="389" spans="1:23" s="25" customFormat="1" ht="45" customHeight="1">
      <c r="A389" s="42" t="s">
        <v>1236</v>
      </c>
      <c r="B389" s="21">
        <v>80204250585</v>
      </c>
      <c r="C389" s="22" t="s">
        <v>267</v>
      </c>
      <c r="D389" s="22" t="s">
        <v>1237</v>
      </c>
      <c r="E389" s="21" t="s">
        <v>48</v>
      </c>
      <c r="F389" s="22"/>
      <c r="G389" s="22"/>
      <c r="H389" s="22"/>
      <c r="I389" s="22"/>
      <c r="J389" s="22"/>
      <c r="K389" s="22"/>
      <c r="L389" s="22"/>
      <c r="M389" s="22"/>
      <c r="N389" s="22"/>
      <c r="O389" s="22"/>
      <c r="P389" s="22"/>
      <c r="Q389" s="22">
        <v>4472901000</v>
      </c>
      <c r="R389" s="22"/>
      <c r="S389" s="22" t="s">
        <v>980</v>
      </c>
      <c r="T389" s="39">
        <v>61189</v>
      </c>
      <c r="U389" s="101">
        <v>44326</v>
      </c>
      <c r="V389" s="101">
        <v>44346</v>
      </c>
      <c r="W389" s="39">
        <v>61189</v>
      </c>
    </row>
    <row r="390" spans="1:23" s="25" customFormat="1" ht="60" customHeight="1">
      <c r="A390" s="42" t="s">
        <v>1238</v>
      </c>
      <c r="B390" s="21">
        <v>80204250585</v>
      </c>
      <c r="C390" s="22" t="s">
        <v>267</v>
      </c>
      <c r="D390" s="22" t="s">
        <v>1239</v>
      </c>
      <c r="E390" s="21" t="s">
        <v>48</v>
      </c>
      <c r="F390" s="22"/>
      <c r="G390" s="22"/>
      <c r="H390" s="22"/>
      <c r="I390" s="22"/>
      <c r="J390" s="22">
        <v>1014021008</v>
      </c>
      <c r="K390" s="22"/>
      <c r="L390" s="22" t="s">
        <v>869</v>
      </c>
      <c r="M390" s="22"/>
      <c r="N390" s="22"/>
      <c r="O390" s="22"/>
      <c r="P390" s="22"/>
      <c r="Q390" s="22">
        <v>1765930589</v>
      </c>
      <c r="R390" s="22"/>
      <c r="S390" s="22" t="s">
        <v>869</v>
      </c>
      <c r="T390" s="39">
        <v>8640</v>
      </c>
      <c r="U390" s="101">
        <v>44378</v>
      </c>
      <c r="V390" s="101">
        <v>44561</v>
      </c>
      <c r="W390" s="44">
        <v>0</v>
      </c>
    </row>
    <row r="391" spans="1:23" s="25" customFormat="1" ht="75" customHeight="1">
      <c r="A391" s="42" t="s">
        <v>1240</v>
      </c>
      <c r="B391" s="21">
        <v>80204250585</v>
      </c>
      <c r="C391" s="22" t="s">
        <v>267</v>
      </c>
      <c r="D391" s="22" t="s">
        <v>1273</v>
      </c>
      <c r="E391" s="21" t="s">
        <v>48</v>
      </c>
      <c r="F391" s="22"/>
      <c r="G391" s="22"/>
      <c r="H391" s="22"/>
      <c r="I391" s="22"/>
      <c r="J391" s="22"/>
      <c r="K391" s="22"/>
      <c r="L391" s="22"/>
      <c r="M391" s="22"/>
      <c r="N391" s="22"/>
      <c r="O391" s="22"/>
      <c r="P391" s="22"/>
      <c r="Q391" s="22">
        <v>9546841009</v>
      </c>
      <c r="R391" s="22"/>
      <c r="S391" s="22" t="s">
        <v>1241</v>
      </c>
      <c r="T391" s="44">
        <v>896.4</v>
      </c>
      <c r="U391" s="101">
        <v>44347</v>
      </c>
      <c r="V391" s="101">
        <v>44347</v>
      </c>
      <c r="W391" s="44">
        <v>896.4</v>
      </c>
    </row>
    <row r="392" spans="1:23" s="25" customFormat="1" ht="42.75" customHeight="1">
      <c r="A392" s="42" t="s">
        <v>1242</v>
      </c>
      <c r="B392" s="21">
        <v>80204250585</v>
      </c>
      <c r="C392" s="22" t="s">
        <v>267</v>
      </c>
      <c r="D392" s="22" t="s">
        <v>1243</v>
      </c>
      <c r="E392" s="21" t="s">
        <v>48</v>
      </c>
      <c r="F392" s="22"/>
      <c r="G392" s="22"/>
      <c r="H392" s="22"/>
      <c r="I392" s="22"/>
      <c r="J392" s="22"/>
      <c r="K392" s="22"/>
      <c r="L392" s="22"/>
      <c r="M392" s="22"/>
      <c r="N392" s="22"/>
      <c r="O392" s="22"/>
      <c r="P392" s="22"/>
      <c r="Q392" s="22">
        <v>9777151003</v>
      </c>
      <c r="R392" s="22"/>
      <c r="S392" s="22" t="s">
        <v>1244</v>
      </c>
      <c r="T392" s="44">
        <v>745</v>
      </c>
      <c r="U392" s="101">
        <v>44350</v>
      </c>
      <c r="V392" s="101">
        <v>44350</v>
      </c>
      <c r="W392" s="44">
        <v>745</v>
      </c>
    </row>
    <row r="393" spans="1:23" s="25" customFormat="1" ht="90" customHeight="1">
      <c r="A393" s="42" t="s">
        <v>1245</v>
      </c>
      <c r="B393" s="21">
        <v>80204250585</v>
      </c>
      <c r="C393" s="22" t="s">
        <v>267</v>
      </c>
      <c r="D393" s="22" t="s">
        <v>1246</v>
      </c>
      <c r="E393" s="21" t="s">
        <v>51</v>
      </c>
      <c r="F393" s="22"/>
      <c r="G393" s="22"/>
      <c r="H393" s="22"/>
      <c r="I393" s="22"/>
      <c r="J393" s="22">
        <v>6655971007</v>
      </c>
      <c r="K393" s="22"/>
      <c r="L393" s="22" t="s">
        <v>1247</v>
      </c>
      <c r="M393" s="22"/>
      <c r="N393" s="22"/>
      <c r="O393" s="22"/>
      <c r="P393" s="22"/>
      <c r="Q393" s="22">
        <v>6655971007</v>
      </c>
      <c r="R393" s="22"/>
      <c r="S393" s="22" t="s">
        <v>542</v>
      </c>
      <c r="T393" s="39">
        <v>620000</v>
      </c>
      <c r="U393" s="101">
        <v>44317</v>
      </c>
      <c r="V393" s="101">
        <v>44681</v>
      </c>
      <c r="W393" s="44">
        <f>34306.71+3689.09+45096.59+4187.25+52970.09+3790.98+4134.46+56389.18+58297.82+4723.07+71744.59+6556.87</f>
        <v>345886.69999999995</v>
      </c>
    </row>
    <row r="394" spans="1:23" s="25" customFormat="1" ht="120" customHeight="1">
      <c r="A394" s="42" t="s">
        <v>1248</v>
      </c>
      <c r="B394" s="21">
        <v>80204250585</v>
      </c>
      <c r="C394" s="22" t="s">
        <v>267</v>
      </c>
      <c r="D394" s="22" t="s">
        <v>1249</v>
      </c>
      <c r="E394" s="21" t="s">
        <v>43</v>
      </c>
      <c r="F394" s="22"/>
      <c r="G394" s="22"/>
      <c r="H394" s="22"/>
      <c r="I394" s="22"/>
      <c r="J394" s="22" t="s">
        <v>1250</v>
      </c>
      <c r="K394" s="22"/>
      <c r="L394" s="22" t="s">
        <v>1251</v>
      </c>
      <c r="M394" s="22"/>
      <c r="N394" s="22"/>
      <c r="O394" s="22"/>
      <c r="P394" s="22"/>
      <c r="Q394" s="22">
        <v>5380651009</v>
      </c>
      <c r="R394" s="22"/>
      <c r="S394" s="22" t="s">
        <v>1252</v>
      </c>
      <c r="T394" s="39">
        <v>101999</v>
      </c>
      <c r="U394" s="101">
        <v>44364</v>
      </c>
      <c r="V394" s="101">
        <v>44728</v>
      </c>
      <c r="W394" s="44">
        <v>22499.75</v>
      </c>
    </row>
    <row r="395" spans="1:23" s="25" customFormat="1" ht="90" customHeight="1">
      <c r="A395" s="42" t="s">
        <v>1253</v>
      </c>
      <c r="B395" s="21">
        <v>80204250585</v>
      </c>
      <c r="C395" s="22" t="s">
        <v>267</v>
      </c>
      <c r="D395" s="22" t="s">
        <v>1292</v>
      </c>
      <c r="E395" s="21" t="s">
        <v>48</v>
      </c>
      <c r="F395" s="22"/>
      <c r="G395" s="22"/>
      <c r="H395" s="22"/>
      <c r="I395" s="22"/>
      <c r="J395" s="22"/>
      <c r="K395" s="22"/>
      <c r="L395" s="22"/>
      <c r="M395" s="22"/>
      <c r="N395" s="22"/>
      <c r="O395" s="22"/>
      <c r="P395" s="22"/>
      <c r="Q395" s="22"/>
      <c r="R395" s="22"/>
      <c r="S395" s="22" t="s">
        <v>799</v>
      </c>
      <c r="T395" s="39">
        <v>26160</v>
      </c>
      <c r="U395" s="101">
        <v>44354</v>
      </c>
      <c r="V395" s="101">
        <v>45084</v>
      </c>
      <c r="W395" s="44">
        <v>0</v>
      </c>
    </row>
    <row r="396" spans="1:23" s="25" customFormat="1" ht="60" customHeight="1">
      <c r="A396" s="42" t="s">
        <v>1254</v>
      </c>
      <c r="B396" s="21">
        <v>80204250585</v>
      </c>
      <c r="C396" s="22" t="s">
        <v>267</v>
      </c>
      <c r="D396" s="22" t="s">
        <v>1255</v>
      </c>
      <c r="E396" s="21" t="s">
        <v>48</v>
      </c>
      <c r="F396" s="22"/>
      <c r="G396" s="22"/>
      <c r="H396" s="22"/>
      <c r="I396" s="22"/>
      <c r="J396" s="22"/>
      <c r="K396" s="22"/>
      <c r="L396" s="22"/>
      <c r="M396" s="22"/>
      <c r="N396" s="22"/>
      <c r="O396" s="22"/>
      <c r="P396" s="22"/>
      <c r="Q396" s="22">
        <v>4637850753</v>
      </c>
      <c r="R396" s="22"/>
      <c r="S396" s="22" t="s">
        <v>842</v>
      </c>
      <c r="T396" s="39">
        <v>3000</v>
      </c>
      <c r="U396" s="101">
        <v>44341</v>
      </c>
      <c r="V396" s="101">
        <v>44561</v>
      </c>
      <c r="W396" s="44">
        <f>540.98+2163.93</f>
        <v>2704.91</v>
      </c>
    </row>
    <row r="397" spans="1:23" s="25" customFormat="1" ht="225" customHeight="1">
      <c r="A397" s="42" t="s">
        <v>1256</v>
      </c>
      <c r="B397" s="21">
        <v>80204250585</v>
      </c>
      <c r="C397" s="22" t="s">
        <v>267</v>
      </c>
      <c r="D397" s="22" t="s">
        <v>1293</v>
      </c>
      <c r="E397" s="21" t="s">
        <v>48</v>
      </c>
      <c r="F397" s="22"/>
      <c r="G397" s="22"/>
      <c r="H397" s="22"/>
      <c r="I397" s="22" t="s">
        <v>1257</v>
      </c>
      <c r="J397" s="22" t="s">
        <v>1258</v>
      </c>
      <c r="K397" s="22"/>
      <c r="L397" s="22" t="s">
        <v>1259</v>
      </c>
      <c r="M397" s="22"/>
      <c r="N397" s="22"/>
      <c r="O397" s="22"/>
      <c r="P397" s="22"/>
      <c r="Q397" s="22">
        <v>9586200017</v>
      </c>
      <c r="R397" s="22"/>
      <c r="S397" s="22" t="s">
        <v>1260</v>
      </c>
      <c r="T397" s="39">
        <v>14000</v>
      </c>
      <c r="U397" s="101">
        <v>44367</v>
      </c>
      <c r="V397" s="101">
        <v>44469</v>
      </c>
      <c r="W397" s="44">
        <v>7000</v>
      </c>
    </row>
    <row r="398" spans="1:23" s="25" customFormat="1" ht="60" customHeight="1">
      <c r="A398" s="42" t="s">
        <v>1263</v>
      </c>
      <c r="B398" s="21">
        <v>80204250585</v>
      </c>
      <c r="C398" s="22" t="s">
        <v>267</v>
      </c>
      <c r="D398" s="22" t="s">
        <v>1231</v>
      </c>
      <c r="E398" s="21" t="s">
        <v>51</v>
      </c>
      <c r="F398" s="22"/>
      <c r="G398" s="22"/>
      <c r="H398" s="22"/>
      <c r="I398" s="22"/>
      <c r="J398" s="22"/>
      <c r="K398" s="22"/>
      <c r="L398" s="22"/>
      <c r="M398" s="22"/>
      <c r="N398" s="22"/>
      <c r="O398" s="22"/>
      <c r="P398" s="22"/>
      <c r="Q398" s="22">
        <v>3918090154</v>
      </c>
      <c r="R398" s="22"/>
      <c r="S398" s="22" t="s">
        <v>1264</v>
      </c>
      <c r="T398" s="39">
        <v>4920</v>
      </c>
      <c r="U398" s="101">
        <v>44440</v>
      </c>
      <c r="V398" s="101">
        <v>44773</v>
      </c>
      <c r="W398" s="44">
        <f>229.5+(336.06*3)</f>
        <v>1237.68</v>
      </c>
    </row>
    <row r="399" spans="1:23" s="25" customFormat="1" ht="150" customHeight="1">
      <c r="A399" s="42" t="s">
        <v>1265</v>
      </c>
      <c r="B399" s="21">
        <v>80204250585</v>
      </c>
      <c r="C399" s="22" t="s">
        <v>267</v>
      </c>
      <c r="D399" s="22" t="s">
        <v>1266</v>
      </c>
      <c r="E399" s="21" t="s">
        <v>48</v>
      </c>
      <c r="F399" s="22"/>
      <c r="G399" s="22"/>
      <c r="H399" s="22"/>
      <c r="I399" s="22"/>
      <c r="J399" s="22" t="s">
        <v>1278</v>
      </c>
      <c r="K399" s="22"/>
      <c r="L399" s="22" t="s">
        <v>1279</v>
      </c>
      <c r="M399" s="22"/>
      <c r="N399" s="22"/>
      <c r="O399" s="22"/>
      <c r="P399" s="22"/>
      <c r="Q399" s="22">
        <v>935420158</v>
      </c>
      <c r="R399" s="22"/>
      <c r="S399" s="22" t="s">
        <v>1267</v>
      </c>
      <c r="T399" s="39">
        <v>4000</v>
      </c>
      <c r="U399" s="101">
        <v>44301</v>
      </c>
      <c r="V399" s="101">
        <v>44333</v>
      </c>
      <c r="W399" s="44">
        <v>4000</v>
      </c>
    </row>
    <row r="400" spans="1:23" s="25" customFormat="1" ht="135" customHeight="1">
      <c r="A400" s="42" t="s">
        <v>1268</v>
      </c>
      <c r="B400" s="21">
        <v>80204250585</v>
      </c>
      <c r="C400" s="22" t="s">
        <v>267</v>
      </c>
      <c r="D400" s="22" t="s">
        <v>1589</v>
      </c>
      <c r="E400" s="22" t="s">
        <v>36</v>
      </c>
      <c r="F400" s="22"/>
      <c r="G400" s="22"/>
      <c r="H400" s="22"/>
      <c r="I400" s="22"/>
      <c r="J400" s="22"/>
      <c r="K400" s="22"/>
      <c r="L400" s="22"/>
      <c r="M400" s="22"/>
      <c r="N400" s="22"/>
      <c r="O400" s="22"/>
      <c r="P400" s="22"/>
      <c r="Q400" s="22">
        <v>2556430987</v>
      </c>
      <c r="R400" s="22"/>
      <c r="S400" s="22" t="s">
        <v>1269</v>
      </c>
      <c r="T400" s="39">
        <f>205271+58330.4</f>
        <v>263601.40000000002</v>
      </c>
      <c r="U400" s="101">
        <v>44562</v>
      </c>
      <c r="V400" s="101">
        <v>46387</v>
      </c>
      <c r="W400" s="44">
        <v>0</v>
      </c>
    </row>
    <row r="401" spans="1:23" s="25" customFormat="1" ht="60" customHeight="1">
      <c r="A401" s="29" t="s">
        <v>1271</v>
      </c>
      <c r="B401" s="21">
        <v>80204250585</v>
      </c>
      <c r="C401" s="22" t="s">
        <v>267</v>
      </c>
      <c r="D401" s="22" t="s">
        <v>1272</v>
      </c>
      <c r="E401" s="21" t="s">
        <v>51</v>
      </c>
      <c r="F401" s="29"/>
      <c r="G401" s="29"/>
      <c r="H401" s="29"/>
      <c r="I401" s="29"/>
      <c r="J401" s="24"/>
      <c r="K401" s="29"/>
      <c r="L401" s="29"/>
      <c r="M401" s="29"/>
      <c r="N401" s="29"/>
      <c r="O401" s="29"/>
      <c r="P401" s="29"/>
      <c r="Q401" s="24" t="s">
        <v>281</v>
      </c>
      <c r="R401" s="29"/>
      <c r="S401" s="29" t="s">
        <v>1179</v>
      </c>
      <c r="T401" s="39">
        <v>2725977.1</v>
      </c>
      <c r="U401" s="100">
        <v>44348</v>
      </c>
      <c r="V401" s="100">
        <v>46903</v>
      </c>
      <c r="W401" s="123">
        <v>0</v>
      </c>
    </row>
    <row r="402" spans="1:23" s="25" customFormat="1" ht="300" customHeight="1">
      <c r="A402" s="74" t="s">
        <v>1274</v>
      </c>
      <c r="B402" s="75">
        <v>80204250585</v>
      </c>
      <c r="C402" s="81" t="s">
        <v>267</v>
      </c>
      <c r="D402" s="81" t="s">
        <v>1276</v>
      </c>
      <c r="E402" s="75" t="s">
        <v>43</v>
      </c>
      <c r="F402" s="74"/>
      <c r="G402" s="74"/>
      <c r="H402" s="74"/>
      <c r="I402" s="74"/>
      <c r="J402" s="76" t="s">
        <v>1284</v>
      </c>
      <c r="K402" s="29"/>
      <c r="L402" s="21" t="s">
        <v>1285</v>
      </c>
      <c r="M402" s="29"/>
      <c r="N402" s="29"/>
      <c r="O402" s="29"/>
      <c r="P402" s="29"/>
      <c r="Q402" s="83" t="s">
        <v>1377</v>
      </c>
      <c r="R402" s="29"/>
      <c r="S402" s="21" t="s">
        <v>1378</v>
      </c>
      <c r="T402" s="84">
        <v>54000</v>
      </c>
      <c r="U402" s="103">
        <v>44438</v>
      </c>
      <c r="V402" s="103">
        <v>45534</v>
      </c>
      <c r="W402" s="85">
        <v>54000</v>
      </c>
    </row>
    <row r="403" spans="1:23" s="25" customFormat="1" ht="300" customHeight="1">
      <c r="A403" s="29" t="s">
        <v>1275</v>
      </c>
      <c r="B403" s="21">
        <v>80204250585</v>
      </c>
      <c r="C403" s="22" t="s">
        <v>267</v>
      </c>
      <c r="D403" s="81" t="s">
        <v>1277</v>
      </c>
      <c r="E403" s="21" t="s">
        <v>43</v>
      </c>
      <c r="F403" s="66"/>
      <c r="G403" s="29"/>
      <c r="H403" s="29"/>
      <c r="I403" s="29"/>
      <c r="J403" s="23" t="s">
        <v>1284</v>
      </c>
      <c r="K403" s="29"/>
      <c r="L403" s="21" t="s">
        <v>1285</v>
      </c>
      <c r="M403" s="86" t="s">
        <v>1380</v>
      </c>
      <c r="N403" s="29"/>
      <c r="O403" s="86" t="s">
        <v>1381</v>
      </c>
      <c r="P403" s="86" t="s">
        <v>1382</v>
      </c>
      <c r="Q403" s="24"/>
      <c r="R403" s="29"/>
      <c r="S403" s="21" t="s">
        <v>1379</v>
      </c>
      <c r="T403" s="124">
        <v>0</v>
      </c>
      <c r="U403" s="103">
        <v>44438</v>
      </c>
      <c r="V403" s="103">
        <v>45534</v>
      </c>
      <c r="W403" s="85">
        <v>84000</v>
      </c>
    </row>
    <row r="404" spans="1:23" s="25" customFormat="1" ht="30" customHeight="1">
      <c r="A404" s="29" t="s">
        <v>1280</v>
      </c>
      <c r="B404" s="21">
        <v>80204250585</v>
      </c>
      <c r="C404" s="22" t="s">
        <v>267</v>
      </c>
      <c r="D404" s="22" t="s">
        <v>1281</v>
      </c>
      <c r="E404" s="21" t="s">
        <v>48</v>
      </c>
      <c r="F404" s="29"/>
      <c r="G404" s="29"/>
      <c r="H404" s="29"/>
      <c r="I404" s="29"/>
      <c r="J404" s="66"/>
      <c r="K404" s="29"/>
      <c r="L404" s="29"/>
      <c r="M404" s="29"/>
      <c r="N404" s="29"/>
      <c r="O404" s="29"/>
      <c r="P404" s="29"/>
      <c r="Q404" s="37" t="s">
        <v>1283</v>
      </c>
      <c r="R404" s="29"/>
      <c r="S404" s="22" t="s">
        <v>1282</v>
      </c>
      <c r="T404" s="39">
        <v>9390</v>
      </c>
      <c r="U404" s="100">
        <v>44378</v>
      </c>
      <c r="V404" s="100">
        <v>44408</v>
      </c>
      <c r="W404" s="28">
        <v>9390</v>
      </c>
    </row>
    <row r="405" spans="1:23" s="25" customFormat="1" ht="409.5" customHeight="1">
      <c r="A405" s="74" t="s">
        <v>1286</v>
      </c>
      <c r="B405" s="75">
        <v>80204250585</v>
      </c>
      <c r="C405" s="81" t="s">
        <v>267</v>
      </c>
      <c r="D405" s="75" t="s">
        <v>1287</v>
      </c>
      <c r="E405" s="75" t="s">
        <v>43</v>
      </c>
      <c r="F405" s="74"/>
      <c r="G405" s="74"/>
      <c r="H405" s="74"/>
      <c r="I405" s="74"/>
      <c r="J405" s="75" t="s">
        <v>1290</v>
      </c>
      <c r="K405" s="74"/>
      <c r="L405" s="21" t="s">
        <v>1291</v>
      </c>
      <c r="M405" s="29"/>
      <c r="N405" s="29"/>
      <c r="O405" s="29"/>
      <c r="P405" s="29"/>
      <c r="Q405" s="37" t="s">
        <v>1289</v>
      </c>
      <c r="R405" s="29"/>
      <c r="S405" s="29" t="s">
        <v>1288</v>
      </c>
      <c r="T405" s="39">
        <v>194149.85</v>
      </c>
      <c r="U405" s="100"/>
      <c r="V405" s="100"/>
      <c r="W405" s="123">
        <v>0</v>
      </c>
    </row>
    <row r="406" spans="1:23" s="25" customFormat="1" ht="30" customHeight="1">
      <c r="A406" s="29" t="s">
        <v>1294</v>
      </c>
      <c r="B406" s="21">
        <v>80204250585</v>
      </c>
      <c r="C406" s="22" t="s">
        <v>267</v>
      </c>
      <c r="D406" s="21" t="s">
        <v>1295</v>
      </c>
      <c r="E406" s="21" t="s">
        <v>48</v>
      </c>
      <c r="F406" s="29"/>
      <c r="G406" s="29"/>
      <c r="H406" s="29"/>
      <c r="I406" s="29"/>
      <c r="J406" s="24"/>
      <c r="K406" s="29"/>
      <c r="L406" s="29"/>
      <c r="M406" s="29"/>
      <c r="N406" s="29"/>
      <c r="O406" s="29"/>
      <c r="P406" s="29"/>
      <c r="Q406" s="24" t="s">
        <v>1296</v>
      </c>
      <c r="R406" s="29"/>
      <c r="S406" s="29" t="s">
        <v>1297</v>
      </c>
      <c r="T406" s="26">
        <v>1883.6</v>
      </c>
      <c r="U406" s="100">
        <v>44275</v>
      </c>
      <c r="V406" s="100">
        <v>44301</v>
      </c>
      <c r="W406" s="28">
        <f>1874.18+9.42</f>
        <v>1883.6000000000001</v>
      </c>
    </row>
    <row r="407" spans="1:23" s="25" customFormat="1" ht="60" customHeight="1">
      <c r="A407" s="29" t="s">
        <v>1298</v>
      </c>
      <c r="B407" s="21">
        <v>80204250585</v>
      </c>
      <c r="C407" s="22" t="s">
        <v>267</v>
      </c>
      <c r="D407" s="21" t="s">
        <v>1299</v>
      </c>
      <c r="E407" s="21" t="s">
        <v>48</v>
      </c>
      <c r="F407" s="29"/>
      <c r="G407" s="29"/>
      <c r="H407" s="29"/>
      <c r="I407" s="29"/>
      <c r="J407" s="37" t="s">
        <v>384</v>
      </c>
      <c r="K407" s="29"/>
      <c r="L407" s="29" t="s">
        <v>490</v>
      </c>
      <c r="M407" s="29"/>
      <c r="N407" s="29"/>
      <c r="O407" s="29"/>
      <c r="P407" s="29"/>
      <c r="Q407" s="37" t="s">
        <v>384</v>
      </c>
      <c r="R407" s="29"/>
      <c r="S407" s="29" t="s">
        <v>490</v>
      </c>
      <c r="T407" s="26">
        <v>350</v>
      </c>
      <c r="U407" s="100">
        <v>44285</v>
      </c>
      <c r="V407" s="100">
        <v>44285</v>
      </c>
      <c r="W407" s="28">
        <v>350</v>
      </c>
    </row>
    <row r="408" spans="1:23" s="25" customFormat="1" ht="60" customHeight="1">
      <c r="A408" s="66" t="s">
        <v>1304</v>
      </c>
      <c r="B408" s="66" t="s">
        <v>1304</v>
      </c>
      <c r="C408" s="21" t="s">
        <v>83</v>
      </c>
      <c r="D408" s="22" t="s">
        <v>1305</v>
      </c>
      <c r="E408" s="21" t="s">
        <v>51</v>
      </c>
      <c r="F408" s="66"/>
      <c r="G408" s="66"/>
      <c r="H408" s="66"/>
      <c r="I408" s="66"/>
      <c r="J408" s="24" t="s">
        <v>90</v>
      </c>
      <c r="K408" s="66"/>
      <c r="L408" s="88" t="s">
        <v>1306</v>
      </c>
      <c r="M408" s="66"/>
      <c r="N408" s="66"/>
      <c r="O408" s="66"/>
      <c r="P408" s="66"/>
      <c r="Q408" s="37" t="s">
        <v>90</v>
      </c>
      <c r="R408" s="66"/>
      <c r="S408" s="29" t="s">
        <v>1306</v>
      </c>
      <c r="T408" s="28">
        <v>65000</v>
      </c>
      <c r="U408" s="100"/>
      <c r="V408" s="100"/>
      <c r="W408" s="28">
        <f>11013.29+8134.83</f>
        <v>19148.120000000003</v>
      </c>
    </row>
    <row r="409" spans="1:23" s="25" customFormat="1" ht="60" customHeight="1">
      <c r="A409" s="66" t="s">
        <v>1307</v>
      </c>
      <c r="B409" s="21" t="s">
        <v>88</v>
      </c>
      <c r="C409" s="21" t="s">
        <v>83</v>
      </c>
      <c r="D409" s="22" t="s">
        <v>1308</v>
      </c>
      <c r="E409" s="21" t="s">
        <v>51</v>
      </c>
      <c r="F409" s="66"/>
      <c r="G409" s="66"/>
      <c r="H409" s="66"/>
      <c r="I409" s="66"/>
      <c r="J409" s="68" t="s">
        <v>90</v>
      </c>
      <c r="K409" s="66"/>
      <c r="L409" s="88" t="s">
        <v>1306</v>
      </c>
      <c r="M409" s="66"/>
      <c r="N409" s="66"/>
      <c r="O409" s="66"/>
      <c r="P409" s="66"/>
      <c r="Q409" s="24" t="s">
        <v>90</v>
      </c>
      <c r="R409" s="66"/>
      <c r="S409" s="29" t="s">
        <v>1306</v>
      </c>
      <c r="T409" s="24" t="s">
        <v>1309</v>
      </c>
      <c r="U409" s="104">
        <v>44378</v>
      </c>
      <c r="V409" s="104">
        <v>44742</v>
      </c>
      <c r="W409" s="28">
        <v>13150</v>
      </c>
    </row>
    <row r="410" spans="1:23" ht="51" customHeight="1">
      <c r="A410" s="88" t="s">
        <v>1320</v>
      </c>
      <c r="B410" s="88">
        <v>80204250585</v>
      </c>
      <c r="C410" s="88" t="s">
        <v>267</v>
      </c>
      <c r="D410" s="88" t="s">
        <v>1321</v>
      </c>
      <c r="E410" s="21" t="s">
        <v>39</v>
      </c>
      <c r="F410" s="80"/>
      <c r="G410" s="80"/>
      <c r="H410" s="80"/>
      <c r="I410" s="80"/>
      <c r="J410" s="88">
        <v>399810589</v>
      </c>
      <c r="K410" s="80"/>
      <c r="L410" s="88" t="s">
        <v>405</v>
      </c>
      <c r="M410" s="80"/>
      <c r="N410" s="80"/>
      <c r="O410" s="80"/>
      <c r="P410" s="80"/>
      <c r="Q410" s="88">
        <v>399810589</v>
      </c>
      <c r="R410" s="80"/>
      <c r="S410" s="88" t="s">
        <v>405</v>
      </c>
      <c r="T410" s="89">
        <v>3100</v>
      </c>
      <c r="U410" s="104">
        <v>44385</v>
      </c>
      <c r="V410" s="104">
        <v>44408</v>
      </c>
      <c r="W410" s="90">
        <f>521.74+2365.77</f>
        <v>2887.51</v>
      </c>
    </row>
    <row r="411" spans="1:23" ht="51" customHeight="1">
      <c r="A411" s="88" t="s">
        <v>1322</v>
      </c>
      <c r="B411" s="88">
        <v>80204250585</v>
      </c>
      <c r="C411" s="88" t="s">
        <v>267</v>
      </c>
      <c r="D411" s="88" t="s">
        <v>1321</v>
      </c>
      <c r="E411" s="21" t="s">
        <v>39</v>
      </c>
      <c r="F411" s="80"/>
      <c r="G411" s="80"/>
      <c r="H411" s="80"/>
      <c r="I411" s="80"/>
      <c r="J411" s="88">
        <v>4705810150</v>
      </c>
      <c r="K411" s="80"/>
      <c r="L411" s="88" t="s">
        <v>1323</v>
      </c>
      <c r="M411" s="80"/>
      <c r="N411" s="80"/>
      <c r="O411" s="80"/>
      <c r="P411" s="80"/>
      <c r="Q411" s="88">
        <v>4705810150</v>
      </c>
      <c r="R411" s="80"/>
      <c r="S411" s="88" t="s">
        <v>1323</v>
      </c>
      <c r="T411" s="90">
        <v>958.45</v>
      </c>
      <c r="U411" s="105">
        <v>44385</v>
      </c>
      <c r="V411" s="105">
        <v>44561</v>
      </c>
      <c r="W411" s="90">
        <v>958.45</v>
      </c>
    </row>
    <row r="412" spans="1:23" ht="51" customHeight="1">
      <c r="A412" s="88" t="s">
        <v>1324</v>
      </c>
      <c r="B412" s="88">
        <v>80204250585</v>
      </c>
      <c r="C412" s="88" t="s">
        <v>267</v>
      </c>
      <c r="D412" s="88" t="s">
        <v>1325</v>
      </c>
      <c r="E412" s="21" t="s">
        <v>48</v>
      </c>
      <c r="F412" s="80"/>
      <c r="G412" s="80"/>
      <c r="H412" s="80"/>
      <c r="I412" s="80"/>
      <c r="J412" s="80"/>
      <c r="K412" s="80"/>
      <c r="L412" s="80" t="s">
        <v>1565</v>
      </c>
      <c r="M412" s="80"/>
      <c r="N412" s="80"/>
      <c r="O412" s="80"/>
      <c r="P412" s="80"/>
      <c r="Q412" s="80"/>
      <c r="R412" s="80"/>
      <c r="S412" s="88" t="s">
        <v>523</v>
      </c>
      <c r="T412" s="90">
        <v>671.39</v>
      </c>
      <c r="U412" s="105">
        <v>44409</v>
      </c>
      <c r="V412" s="105">
        <v>44773</v>
      </c>
      <c r="W412" s="90">
        <v>0</v>
      </c>
    </row>
    <row r="413" spans="1:23" s="78" customFormat="1" ht="51" customHeight="1">
      <c r="A413" s="88" t="s">
        <v>1222</v>
      </c>
      <c r="B413" s="88">
        <v>80204250585</v>
      </c>
      <c r="C413" s="88" t="s">
        <v>267</v>
      </c>
      <c r="D413" s="88" t="s">
        <v>1223</v>
      </c>
      <c r="E413" s="21" t="s">
        <v>39</v>
      </c>
      <c r="F413" s="80"/>
      <c r="G413" s="80"/>
      <c r="H413" s="80"/>
      <c r="I413" s="80"/>
      <c r="J413" s="80"/>
      <c r="K413" s="80"/>
      <c r="L413" s="80"/>
      <c r="M413" s="80"/>
      <c r="N413" s="80"/>
      <c r="O413" s="80"/>
      <c r="P413" s="80"/>
      <c r="Q413" s="88">
        <v>8333270018</v>
      </c>
      <c r="R413" s="80"/>
      <c r="S413" s="88" t="s">
        <v>340</v>
      </c>
      <c r="T413" s="89">
        <v>12479</v>
      </c>
      <c r="U413" s="105">
        <v>44378</v>
      </c>
      <c r="V413" s="105">
        <v>44742</v>
      </c>
      <c r="W413" s="89">
        <f>2745.38+12479</f>
        <v>15224.380000000001</v>
      </c>
    </row>
    <row r="414" spans="1:23" ht="51" customHeight="1">
      <c r="A414" s="88" t="s">
        <v>1326</v>
      </c>
      <c r="B414" s="88">
        <v>80204250585</v>
      </c>
      <c r="C414" s="88" t="s">
        <v>267</v>
      </c>
      <c r="D414" s="88" t="s">
        <v>1327</v>
      </c>
      <c r="E414" s="21" t="s">
        <v>48</v>
      </c>
      <c r="F414" s="80"/>
      <c r="G414" s="80"/>
      <c r="H414" s="80"/>
      <c r="I414" s="80"/>
      <c r="J414" s="80"/>
      <c r="K414" s="80"/>
      <c r="L414" s="80"/>
      <c r="M414" s="80"/>
      <c r="N414" s="80"/>
      <c r="O414" s="80"/>
      <c r="P414" s="80"/>
      <c r="Q414" s="88">
        <v>1287540445</v>
      </c>
      <c r="R414" s="80"/>
      <c r="S414" s="88" t="s">
        <v>771</v>
      </c>
      <c r="T414" s="90">
        <v>190.8</v>
      </c>
      <c r="U414" s="105">
        <v>44417</v>
      </c>
      <c r="V414" s="105">
        <v>44418</v>
      </c>
      <c r="W414" s="90">
        <v>190.8</v>
      </c>
    </row>
    <row r="415" spans="1:23" ht="51" customHeight="1">
      <c r="A415" s="88" t="s">
        <v>1328</v>
      </c>
      <c r="B415" s="88">
        <v>80204250585</v>
      </c>
      <c r="C415" s="88" t="s">
        <v>267</v>
      </c>
      <c r="D415" s="88" t="s">
        <v>1321</v>
      </c>
      <c r="E415" s="21" t="s">
        <v>39</v>
      </c>
      <c r="F415" s="80"/>
      <c r="G415" s="80"/>
      <c r="H415" s="80"/>
      <c r="I415" s="80"/>
      <c r="J415" s="88">
        <v>8114020152</v>
      </c>
      <c r="K415" s="80"/>
      <c r="L415" s="88" t="s">
        <v>1329</v>
      </c>
      <c r="M415" s="80"/>
      <c r="N415" s="80"/>
      <c r="O415" s="80"/>
      <c r="P415" s="80"/>
      <c r="Q415" s="88">
        <v>8114020152</v>
      </c>
      <c r="R415" s="80"/>
      <c r="S415" s="88" t="s">
        <v>1329</v>
      </c>
      <c r="T415" s="90">
        <v>350</v>
      </c>
      <c r="U415" s="105">
        <v>44385</v>
      </c>
      <c r="V415" s="105">
        <v>44561</v>
      </c>
      <c r="W415" s="90">
        <v>350</v>
      </c>
    </row>
    <row r="416" spans="1:23" s="25" customFormat="1" ht="38.25" customHeight="1">
      <c r="A416" s="88" t="s">
        <v>1230</v>
      </c>
      <c r="B416" s="88">
        <v>80204250585</v>
      </c>
      <c r="C416" s="88" t="s">
        <v>267</v>
      </c>
      <c r="D416" s="88" t="s">
        <v>1231</v>
      </c>
      <c r="E416" s="88" t="s">
        <v>51</v>
      </c>
      <c r="F416" s="80"/>
      <c r="G416" s="80"/>
      <c r="H416" s="80"/>
      <c r="I416" s="80"/>
      <c r="J416" s="80"/>
      <c r="K416" s="80"/>
      <c r="L416" s="80"/>
      <c r="M416" s="80"/>
      <c r="N416" s="80"/>
      <c r="O416" s="80"/>
      <c r="P416" s="80"/>
      <c r="Q416" s="88">
        <v>13464671000</v>
      </c>
      <c r="R416" s="80"/>
      <c r="S416" s="88" t="s">
        <v>1232</v>
      </c>
      <c r="T416" s="89">
        <v>24600</v>
      </c>
      <c r="U416" s="105">
        <v>44440</v>
      </c>
      <c r="V416" s="105">
        <v>44773</v>
      </c>
      <c r="W416" s="90">
        <f>(216.39*4)-(6.55*4)+(336.06*13)+209.83</f>
        <v>5417.9699999999993</v>
      </c>
    </row>
    <row r="417" spans="1:23" ht="51" customHeight="1">
      <c r="A417" s="88" t="s">
        <v>1330</v>
      </c>
      <c r="B417" s="88">
        <v>80204250585</v>
      </c>
      <c r="C417" s="88" t="s">
        <v>267</v>
      </c>
      <c r="D417" s="88" t="s">
        <v>1321</v>
      </c>
      <c r="E417" s="21" t="s">
        <v>39</v>
      </c>
      <c r="F417" s="80"/>
      <c r="G417" s="80"/>
      <c r="H417" s="80"/>
      <c r="I417" s="80"/>
      <c r="J417" s="88">
        <v>12086540155</v>
      </c>
      <c r="K417" s="80"/>
      <c r="L417" s="88" t="s">
        <v>1331</v>
      </c>
      <c r="M417" s="80"/>
      <c r="N417" s="80"/>
      <c r="O417" s="80"/>
      <c r="P417" s="80"/>
      <c r="Q417" s="88">
        <v>12086540155</v>
      </c>
      <c r="R417" s="80"/>
      <c r="S417" s="88" t="s">
        <v>1331</v>
      </c>
      <c r="T417" s="90">
        <v>160</v>
      </c>
      <c r="U417" s="105">
        <v>44385</v>
      </c>
      <c r="V417" s="105">
        <v>44561</v>
      </c>
      <c r="W417" s="90">
        <v>160</v>
      </c>
    </row>
    <row r="418" spans="1:23" s="25" customFormat="1" ht="153" customHeight="1">
      <c r="A418" s="88" t="s">
        <v>1332</v>
      </c>
      <c r="B418" s="88">
        <v>80204250585</v>
      </c>
      <c r="C418" s="88" t="s">
        <v>267</v>
      </c>
      <c r="D418" s="88" t="s">
        <v>1333</v>
      </c>
      <c r="E418" s="21" t="s">
        <v>38</v>
      </c>
      <c r="F418" s="80"/>
      <c r="G418" s="80"/>
      <c r="H418" s="80"/>
      <c r="I418" s="88"/>
      <c r="J418" s="88" t="s">
        <v>1334</v>
      </c>
      <c r="K418" s="80"/>
      <c r="L418" s="88" t="s">
        <v>1335</v>
      </c>
      <c r="M418" s="80"/>
      <c r="N418" s="80"/>
      <c r="O418" s="80"/>
      <c r="P418" s="80"/>
      <c r="Q418" s="88">
        <v>2508710585</v>
      </c>
      <c r="R418" s="80"/>
      <c r="S418" s="88" t="s">
        <v>1336</v>
      </c>
      <c r="T418" s="89">
        <v>117600</v>
      </c>
      <c r="U418" s="105">
        <v>44470</v>
      </c>
      <c r="V418" s="105">
        <v>44620</v>
      </c>
      <c r="W418" s="90">
        <v>0</v>
      </c>
    </row>
    <row r="419" spans="1:23" ht="102" customHeight="1">
      <c r="A419" s="88" t="s">
        <v>1340</v>
      </c>
      <c r="B419" s="88">
        <v>80204250585</v>
      </c>
      <c r="C419" s="88" t="s">
        <v>267</v>
      </c>
      <c r="D419" s="88" t="s">
        <v>1371</v>
      </c>
      <c r="E419" s="21" t="s">
        <v>39</v>
      </c>
      <c r="F419" s="80"/>
      <c r="G419" s="80"/>
      <c r="H419" s="80"/>
      <c r="I419" s="80"/>
      <c r="J419" s="80"/>
      <c r="K419" s="80"/>
      <c r="L419" s="80"/>
      <c r="M419" s="80"/>
      <c r="N419" s="80"/>
      <c r="O419" s="80"/>
      <c r="P419" s="80"/>
      <c r="Q419" s="88">
        <v>10556200961</v>
      </c>
      <c r="R419" s="80"/>
      <c r="S419" s="88" t="s">
        <v>438</v>
      </c>
      <c r="T419" s="91">
        <v>33125</v>
      </c>
      <c r="U419" s="105">
        <v>44440</v>
      </c>
      <c r="V419" s="105">
        <v>45351</v>
      </c>
      <c r="W419" s="88">
        <v>0</v>
      </c>
    </row>
    <row r="420" spans="1:23" ht="76.5" customHeight="1">
      <c r="A420" s="88" t="s">
        <v>1261</v>
      </c>
      <c r="B420" s="88">
        <v>80204250585</v>
      </c>
      <c r="C420" s="88" t="s">
        <v>267</v>
      </c>
      <c r="D420" s="88" t="s">
        <v>1262</v>
      </c>
      <c r="E420" s="21" t="s">
        <v>48</v>
      </c>
      <c r="F420" s="80"/>
      <c r="G420" s="80"/>
      <c r="H420" s="80"/>
      <c r="I420" s="80"/>
      <c r="J420" s="80"/>
      <c r="K420" s="80"/>
      <c r="L420" s="80"/>
      <c r="M420" s="80"/>
      <c r="N420" s="80"/>
      <c r="O420" s="80"/>
      <c r="P420" s="80"/>
      <c r="Q420" s="88">
        <v>9337161005</v>
      </c>
      <c r="R420" s="80"/>
      <c r="S420" s="88" t="s">
        <v>509</v>
      </c>
      <c r="T420" s="89">
        <v>11350</v>
      </c>
      <c r="U420" s="105">
        <v>44356</v>
      </c>
      <c r="V420" s="105">
        <v>44361</v>
      </c>
      <c r="W420" s="89">
        <f>2491.24+11299</f>
        <v>13790.24</v>
      </c>
    </row>
    <row r="421" spans="1:23" s="25" customFormat="1" ht="51" customHeight="1">
      <c r="A421" s="88" t="s">
        <v>1341</v>
      </c>
      <c r="B421" s="88">
        <v>80204250585</v>
      </c>
      <c r="C421" s="88" t="s">
        <v>267</v>
      </c>
      <c r="D421" s="88" t="s">
        <v>1342</v>
      </c>
      <c r="E421" s="88" t="s">
        <v>51</v>
      </c>
      <c r="F421" s="80"/>
      <c r="G421" s="80"/>
      <c r="H421" s="80"/>
      <c r="I421" s="80"/>
      <c r="J421" s="80"/>
      <c r="K421" s="80"/>
      <c r="L421" s="80"/>
      <c r="M421" s="80"/>
      <c r="N421" s="80"/>
      <c r="O421" s="80"/>
      <c r="P421" s="80"/>
      <c r="Q421" s="88">
        <v>401990585</v>
      </c>
      <c r="R421" s="80"/>
      <c r="S421" s="88" t="s">
        <v>1343</v>
      </c>
      <c r="T421" s="89">
        <v>105206.82</v>
      </c>
      <c r="U421" s="105">
        <v>44459</v>
      </c>
      <c r="V421" s="105">
        <v>44761</v>
      </c>
      <c r="W421" s="90">
        <v>0</v>
      </c>
    </row>
    <row r="422" spans="1:23" ht="89.25" customHeight="1">
      <c r="A422" s="88" t="s">
        <v>1344</v>
      </c>
      <c r="B422" s="88">
        <v>80204250585</v>
      </c>
      <c r="C422" s="88" t="s">
        <v>267</v>
      </c>
      <c r="D422" s="88" t="s">
        <v>1345</v>
      </c>
      <c r="E422" s="88" t="s">
        <v>51</v>
      </c>
      <c r="F422" s="80"/>
      <c r="G422" s="80"/>
      <c r="H422" s="80"/>
      <c r="I422" s="80"/>
      <c r="J422" s="80"/>
      <c r="K422" s="80"/>
      <c r="L422" s="80"/>
      <c r="M422" s="80"/>
      <c r="N422" s="80"/>
      <c r="O422" s="80"/>
      <c r="P422" s="80"/>
      <c r="Q422" s="88">
        <v>401990585</v>
      </c>
      <c r="R422" s="80"/>
      <c r="S422" s="88" t="s">
        <v>1343</v>
      </c>
      <c r="T422" s="89">
        <v>792658.75</v>
      </c>
      <c r="U422" s="105">
        <v>44398</v>
      </c>
      <c r="V422" s="105">
        <v>44762</v>
      </c>
      <c r="W422" s="90">
        <v>0</v>
      </c>
    </row>
    <row r="423" spans="1:23" ht="76.5" customHeight="1">
      <c r="A423" s="88" t="s">
        <v>1346</v>
      </c>
      <c r="B423" s="88">
        <v>80204250585</v>
      </c>
      <c r="C423" s="88" t="s">
        <v>267</v>
      </c>
      <c r="D423" s="88" t="s">
        <v>1347</v>
      </c>
      <c r="E423" s="21" t="s">
        <v>48</v>
      </c>
      <c r="F423" s="80"/>
      <c r="G423" s="80"/>
      <c r="H423" s="80"/>
      <c r="I423" s="80"/>
      <c r="J423" s="80"/>
      <c r="K423" s="80"/>
      <c r="L423" s="80"/>
      <c r="M423" s="80"/>
      <c r="N423" s="80"/>
      <c r="O423" s="80"/>
      <c r="P423" s="80"/>
      <c r="Q423" s="88">
        <v>80005050507</v>
      </c>
      <c r="R423" s="80"/>
      <c r="S423" s="88" t="s">
        <v>1348</v>
      </c>
      <c r="T423" s="89">
        <v>50000</v>
      </c>
      <c r="U423" s="105">
        <v>44418</v>
      </c>
      <c r="V423" s="105">
        <v>44602</v>
      </c>
      <c r="W423" s="90">
        <v>0</v>
      </c>
    </row>
    <row r="424" spans="1:23" ht="51" customHeight="1">
      <c r="A424" s="88" t="s">
        <v>1349</v>
      </c>
      <c r="B424" s="88">
        <v>80204250585</v>
      </c>
      <c r="C424" s="88" t="s">
        <v>267</v>
      </c>
      <c r="D424" s="88" t="s">
        <v>1350</v>
      </c>
      <c r="E424" s="21" t="s">
        <v>48</v>
      </c>
      <c r="F424" s="80"/>
      <c r="G424" s="80"/>
      <c r="H424" s="80"/>
      <c r="I424" s="80"/>
      <c r="J424" s="80"/>
      <c r="K424" s="80"/>
      <c r="L424" s="80"/>
      <c r="M424" s="80"/>
      <c r="N424" s="80"/>
      <c r="O424" s="80"/>
      <c r="P424" s="80"/>
      <c r="Q424" s="88">
        <v>2082040680</v>
      </c>
      <c r="R424" s="80"/>
      <c r="S424" s="88" t="s">
        <v>1351</v>
      </c>
      <c r="T424" s="89">
        <v>4122.5</v>
      </c>
      <c r="U424" s="105">
        <v>44414</v>
      </c>
      <c r="V424" s="105">
        <v>44778</v>
      </c>
      <c r="W424" s="90">
        <f>906.95+4122.5</f>
        <v>5029.45</v>
      </c>
    </row>
    <row r="425" spans="1:23" s="25" customFormat="1" ht="63.75" customHeight="1">
      <c r="A425" s="88" t="s">
        <v>1352</v>
      </c>
      <c r="B425" s="88">
        <v>80204250585</v>
      </c>
      <c r="C425" s="88" t="s">
        <v>267</v>
      </c>
      <c r="D425" s="88" t="s">
        <v>1353</v>
      </c>
      <c r="E425" s="21" t="s">
        <v>48</v>
      </c>
      <c r="F425" s="80"/>
      <c r="G425" s="80"/>
      <c r="H425" s="80"/>
      <c r="I425" s="80"/>
      <c r="J425" s="80"/>
      <c r="K425" s="80"/>
      <c r="L425" s="80"/>
      <c r="M425" s="80"/>
      <c r="N425" s="80"/>
      <c r="O425" s="80"/>
      <c r="P425" s="80"/>
      <c r="Q425" s="80"/>
      <c r="R425" s="80"/>
      <c r="S425" s="88" t="s">
        <v>1354</v>
      </c>
      <c r="T425" s="89">
        <v>19900</v>
      </c>
      <c r="U425" s="105">
        <v>44444</v>
      </c>
      <c r="V425" s="105">
        <v>45504</v>
      </c>
      <c r="W425" s="90">
        <v>0</v>
      </c>
    </row>
    <row r="426" spans="1:23" ht="76.5" customHeight="1">
      <c r="A426" s="88" t="s">
        <v>1356</v>
      </c>
      <c r="B426" s="88">
        <v>80204250585</v>
      </c>
      <c r="C426" s="88" t="s">
        <v>267</v>
      </c>
      <c r="D426" s="88" t="s">
        <v>1357</v>
      </c>
      <c r="E426" s="21" t="s">
        <v>38</v>
      </c>
      <c r="F426" s="80"/>
      <c r="G426" s="80"/>
      <c r="H426" s="80"/>
      <c r="I426" s="88" t="s">
        <v>1358</v>
      </c>
      <c r="J426" s="88" t="s">
        <v>1359</v>
      </c>
      <c r="K426" s="80"/>
      <c r="L426" s="88" t="s">
        <v>1360</v>
      </c>
      <c r="M426" s="80"/>
      <c r="N426" s="80"/>
      <c r="O426" s="80"/>
      <c r="P426" s="80"/>
      <c r="Q426" s="88">
        <v>5289751009</v>
      </c>
      <c r="R426" s="80"/>
      <c r="S426" s="88" t="s">
        <v>1361</v>
      </c>
      <c r="T426" s="89">
        <v>116489.91</v>
      </c>
      <c r="U426" s="105">
        <v>44391</v>
      </c>
      <c r="V426" s="105">
        <v>44517</v>
      </c>
      <c r="W426" s="90">
        <f>23297.98+75400.07</f>
        <v>98698.05</v>
      </c>
    </row>
    <row r="427" spans="1:23" ht="63.75" customHeight="1">
      <c r="A427" s="88" t="s">
        <v>1362</v>
      </c>
      <c r="B427" s="88">
        <v>80204250585</v>
      </c>
      <c r="C427" s="88" t="s">
        <v>267</v>
      </c>
      <c r="D427" s="88" t="s">
        <v>1363</v>
      </c>
      <c r="E427" s="21" t="s">
        <v>48</v>
      </c>
      <c r="F427" s="80"/>
      <c r="G427" s="80"/>
      <c r="H427" s="80"/>
      <c r="I427" s="80"/>
      <c r="J427" s="92" t="s">
        <v>1384</v>
      </c>
      <c r="K427" s="80"/>
      <c r="L427" s="88" t="s">
        <v>1364</v>
      </c>
      <c r="M427" s="80"/>
      <c r="N427" s="80"/>
      <c r="O427" s="80"/>
      <c r="P427" s="80"/>
      <c r="Q427" s="92" t="s">
        <v>1384</v>
      </c>
      <c r="R427" s="80"/>
      <c r="S427" s="88" t="s">
        <v>1364</v>
      </c>
      <c r="T427" s="89">
        <v>1299</v>
      </c>
      <c r="U427" s="105">
        <v>44407</v>
      </c>
      <c r="V427" s="105">
        <v>44418</v>
      </c>
      <c r="W427" s="90">
        <f>285.78+1299</f>
        <v>1584.78</v>
      </c>
    </row>
    <row r="428" spans="1:23" ht="89.25" customHeight="1">
      <c r="A428" s="88" t="s">
        <v>1365</v>
      </c>
      <c r="B428" s="88">
        <v>80204250585</v>
      </c>
      <c r="C428" s="88" t="s">
        <v>267</v>
      </c>
      <c r="D428" s="88" t="s">
        <v>1366</v>
      </c>
      <c r="E428" s="21" t="s">
        <v>48</v>
      </c>
      <c r="F428" s="80"/>
      <c r="G428" s="80"/>
      <c r="H428" s="80"/>
      <c r="I428" s="80"/>
      <c r="J428" s="88" t="s">
        <v>1367</v>
      </c>
      <c r="K428" s="80"/>
      <c r="L428" s="88" t="s">
        <v>1367</v>
      </c>
      <c r="M428" s="80"/>
      <c r="N428" s="80"/>
      <c r="O428" s="80"/>
      <c r="P428" s="80"/>
      <c r="Q428" s="88" t="s">
        <v>1367</v>
      </c>
      <c r="R428" s="80"/>
      <c r="S428" s="88" t="s">
        <v>1367</v>
      </c>
      <c r="T428" s="89">
        <v>2577</v>
      </c>
      <c r="U428" s="105">
        <v>44408</v>
      </c>
      <c r="V428" s="105">
        <v>44418</v>
      </c>
      <c r="W428" s="90">
        <f>560.34+2547</f>
        <v>3107.34</v>
      </c>
    </row>
    <row r="429" spans="1:23" s="25" customFormat="1" ht="30" customHeight="1">
      <c r="A429" s="88" t="s">
        <v>1368</v>
      </c>
      <c r="B429" s="88">
        <v>80204250585</v>
      </c>
      <c r="C429" s="88" t="s">
        <v>267</v>
      </c>
      <c r="D429" s="88" t="s">
        <v>1369</v>
      </c>
      <c r="E429" s="21" t="s">
        <v>48</v>
      </c>
      <c r="F429" s="80"/>
      <c r="G429" s="80"/>
      <c r="H429" s="80"/>
      <c r="I429" s="80"/>
      <c r="J429" s="80"/>
      <c r="K429" s="80"/>
      <c r="L429" s="80"/>
      <c r="M429" s="80"/>
      <c r="N429" s="80"/>
      <c r="O429" s="80"/>
      <c r="P429" s="80"/>
      <c r="Q429" s="80"/>
      <c r="R429" s="80"/>
      <c r="S429" s="88" t="s">
        <v>1370</v>
      </c>
      <c r="T429" s="89">
        <v>10534</v>
      </c>
      <c r="U429" s="105">
        <v>44466</v>
      </c>
      <c r="V429" s="105">
        <v>44832</v>
      </c>
      <c r="W429" s="90">
        <v>0</v>
      </c>
    </row>
    <row r="430" spans="1:23" s="72" customFormat="1" ht="45">
      <c r="A430" s="29" t="s">
        <v>1372</v>
      </c>
      <c r="B430" s="88">
        <v>80204250585</v>
      </c>
      <c r="C430" s="88" t="s">
        <v>267</v>
      </c>
      <c r="D430" s="88" t="s">
        <v>1373</v>
      </c>
      <c r="E430" s="127" t="s">
        <v>39</v>
      </c>
      <c r="F430" s="128"/>
      <c r="G430" s="128"/>
      <c r="H430" s="128"/>
      <c r="I430" s="128"/>
      <c r="J430" s="125"/>
      <c r="K430" s="128"/>
      <c r="L430" s="128"/>
      <c r="M430" s="128"/>
      <c r="N430" s="128"/>
      <c r="O430" s="128"/>
      <c r="P430" s="128"/>
      <c r="Q430" s="125"/>
      <c r="R430" s="128"/>
      <c r="S430" s="128"/>
      <c r="T430" s="124">
        <v>0</v>
      </c>
      <c r="U430" s="132"/>
      <c r="V430" s="132"/>
      <c r="W430" s="123">
        <v>0</v>
      </c>
    </row>
    <row r="431" spans="1:23" s="73" customFormat="1" ht="114.75" customHeight="1">
      <c r="A431" s="29" t="s">
        <v>1374</v>
      </c>
      <c r="B431" s="88">
        <v>80204250585</v>
      </c>
      <c r="C431" s="88" t="s">
        <v>267</v>
      </c>
      <c r="D431" s="88" t="s">
        <v>1576</v>
      </c>
      <c r="E431" s="21" t="s">
        <v>48</v>
      </c>
      <c r="F431" s="29"/>
      <c r="G431" s="29"/>
      <c r="H431" s="29"/>
      <c r="I431" s="29"/>
      <c r="J431" s="24"/>
      <c r="K431" s="29"/>
      <c r="L431" s="29"/>
      <c r="M431" s="29"/>
      <c r="N431" s="29"/>
      <c r="O431" s="29"/>
      <c r="P431" s="29"/>
      <c r="Q431" s="77" t="s">
        <v>701</v>
      </c>
      <c r="R431" s="22"/>
      <c r="S431" s="22" t="s">
        <v>1383</v>
      </c>
      <c r="T431" s="26">
        <v>150000</v>
      </c>
      <c r="U431" s="100">
        <v>44470</v>
      </c>
      <c r="V431" s="100">
        <v>45199</v>
      </c>
      <c r="W431" s="114">
        <f>1390.1+2849.36+3469.31</f>
        <v>7708.77</v>
      </c>
    </row>
    <row r="432" spans="1:23" s="72" customFormat="1" ht="105" customHeight="1">
      <c r="A432" s="29" t="s">
        <v>1375</v>
      </c>
      <c r="B432" s="88">
        <v>80204250585</v>
      </c>
      <c r="C432" s="88" t="s">
        <v>267</v>
      </c>
      <c r="D432" s="88" t="s">
        <v>1376</v>
      </c>
      <c r="E432" s="21" t="s">
        <v>58</v>
      </c>
      <c r="F432" s="29"/>
      <c r="G432" s="29"/>
      <c r="H432" s="29"/>
      <c r="I432" s="29"/>
      <c r="J432" s="21" t="s">
        <v>1567</v>
      </c>
      <c r="K432" s="29"/>
      <c r="L432" s="21" t="s">
        <v>1566</v>
      </c>
      <c r="M432" s="29"/>
      <c r="N432" s="29"/>
      <c r="O432" s="29"/>
      <c r="P432" s="29"/>
      <c r="Q432" s="37" t="s">
        <v>1568</v>
      </c>
      <c r="R432" s="29"/>
      <c r="S432" s="29" t="s">
        <v>1569</v>
      </c>
      <c r="T432" s="26">
        <v>146320.56</v>
      </c>
      <c r="U432" s="100">
        <v>44562</v>
      </c>
      <c r="V432" s="100">
        <v>44926</v>
      </c>
      <c r="W432" s="123">
        <v>0</v>
      </c>
    </row>
    <row r="433" spans="1:23" s="72" customFormat="1" ht="30" customHeight="1">
      <c r="A433" s="29" t="s">
        <v>1387</v>
      </c>
      <c r="B433" s="88">
        <v>80204250585</v>
      </c>
      <c r="C433" s="88" t="s">
        <v>267</v>
      </c>
      <c r="D433" s="88" t="s">
        <v>1391</v>
      </c>
      <c r="E433" s="21" t="s">
        <v>48</v>
      </c>
      <c r="F433" s="29"/>
      <c r="G433" s="29"/>
      <c r="H433" s="29"/>
      <c r="I433" s="29"/>
      <c r="J433" s="24"/>
      <c r="K433" s="29"/>
      <c r="L433" s="29"/>
      <c r="M433" s="29"/>
      <c r="N433" s="29"/>
      <c r="O433" s="29"/>
      <c r="P433" s="29"/>
      <c r="Q433" s="37" t="s">
        <v>1393</v>
      </c>
      <c r="R433" s="29"/>
      <c r="S433" s="29" t="s">
        <v>1394</v>
      </c>
      <c r="T433" s="28">
        <v>4888.8</v>
      </c>
      <c r="U433" s="100">
        <v>44405</v>
      </c>
      <c r="V433" s="100">
        <v>44407</v>
      </c>
      <c r="W433" s="28">
        <v>4888.8</v>
      </c>
    </row>
    <row r="434" spans="1:23" s="72" customFormat="1" ht="51" customHeight="1">
      <c r="A434" s="29" t="s">
        <v>1388</v>
      </c>
      <c r="B434" s="88">
        <v>80204250585</v>
      </c>
      <c r="C434" s="88" t="s">
        <v>267</v>
      </c>
      <c r="D434" s="88" t="s">
        <v>1392</v>
      </c>
      <c r="E434" s="21" t="s">
        <v>48</v>
      </c>
      <c r="F434" s="29"/>
      <c r="G434" s="29"/>
      <c r="H434" s="29"/>
      <c r="I434" s="29"/>
      <c r="J434" s="24"/>
      <c r="K434" s="29"/>
      <c r="L434" s="29"/>
      <c r="M434" s="29"/>
      <c r="N434" s="29"/>
      <c r="O434" s="29"/>
      <c r="P434" s="29"/>
      <c r="Q434" s="37" t="s">
        <v>1389</v>
      </c>
      <c r="R434" s="29"/>
      <c r="S434" s="29" t="s">
        <v>1390</v>
      </c>
      <c r="T434" s="26">
        <v>2436</v>
      </c>
      <c r="U434" s="100">
        <v>44405</v>
      </c>
      <c r="V434" s="100">
        <v>44407</v>
      </c>
      <c r="W434" s="28">
        <v>2436</v>
      </c>
    </row>
    <row r="435" spans="1:23" s="25" customFormat="1" ht="60" customHeight="1">
      <c r="A435" s="25" t="s">
        <v>1395</v>
      </c>
      <c r="B435" s="29" t="s">
        <v>88</v>
      </c>
      <c r="C435" s="21" t="s">
        <v>83</v>
      </c>
      <c r="D435" s="22" t="s">
        <v>1595</v>
      </c>
      <c r="E435" s="21" t="s">
        <v>48</v>
      </c>
      <c r="J435" s="37" t="s">
        <v>1396</v>
      </c>
      <c r="L435" s="29" t="s">
        <v>1397</v>
      </c>
      <c r="Q435" s="68" t="s">
        <v>1396</v>
      </c>
      <c r="S435" s="29" t="s">
        <v>1397</v>
      </c>
      <c r="T435" s="28">
        <v>39000</v>
      </c>
      <c r="U435" s="100">
        <v>44396</v>
      </c>
      <c r="V435" s="104">
        <v>44561</v>
      </c>
      <c r="W435" s="25">
        <v>0</v>
      </c>
    </row>
    <row r="436" spans="1:23" s="25" customFormat="1" ht="30" customHeight="1">
      <c r="A436" s="25" t="s">
        <v>1399</v>
      </c>
      <c r="B436" s="29" t="s">
        <v>88</v>
      </c>
      <c r="C436" s="21" t="s">
        <v>83</v>
      </c>
      <c r="D436" s="21" t="s">
        <v>1400</v>
      </c>
      <c r="E436" s="21" t="s">
        <v>48</v>
      </c>
      <c r="J436" s="37" t="s">
        <v>1074</v>
      </c>
      <c r="L436" s="25" t="s">
        <v>1355</v>
      </c>
      <c r="Q436" s="37" t="s">
        <v>1074</v>
      </c>
      <c r="S436" s="25" t="s">
        <v>1355</v>
      </c>
      <c r="T436" s="93">
        <v>18550</v>
      </c>
      <c r="U436" s="100">
        <v>44470</v>
      </c>
      <c r="V436" s="100">
        <v>44592</v>
      </c>
      <c r="W436" s="25">
        <v>8400</v>
      </c>
    </row>
    <row r="437" spans="1:23" s="25" customFormat="1" ht="105" customHeight="1">
      <c r="A437" s="25" t="s">
        <v>1401</v>
      </c>
      <c r="B437" s="29" t="s">
        <v>88</v>
      </c>
      <c r="C437" s="21" t="s">
        <v>83</v>
      </c>
      <c r="D437" s="22" t="s">
        <v>1586</v>
      </c>
      <c r="E437" s="21" t="s">
        <v>48</v>
      </c>
      <c r="J437" s="24" t="s">
        <v>1402</v>
      </c>
      <c r="L437" s="22" t="s">
        <v>1403</v>
      </c>
      <c r="Q437" s="24" t="s">
        <v>1402</v>
      </c>
      <c r="S437" s="22" t="s">
        <v>1403</v>
      </c>
      <c r="T437" s="28">
        <v>47400</v>
      </c>
      <c r="U437" s="100">
        <v>44417</v>
      </c>
      <c r="V437" s="104">
        <v>44804</v>
      </c>
      <c r="W437" s="26">
        <v>8880</v>
      </c>
    </row>
    <row r="438" spans="1:23" ht="51" customHeight="1">
      <c r="A438" s="29" t="s">
        <v>1404</v>
      </c>
      <c r="B438" s="29" t="s">
        <v>88</v>
      </c>
      <c r="C438" s="21" t="s">
        <v>83</v>
      </c>
      <c r="D438" s="88" t="s">
        <v>1411</v>
      </c>
      <c r="E438" s="21" t="s">
        <v>48</v>
      </c>
      <c r="F438" s="29"/>
      <c r="G438" s="29"/>
      <c r="H438" s="29"/>
      <c r="I438" s="29"/>
      <c r="J438" s="24"/>
      <c r="K438" s="29"/>
      <c r="L438" s="29"/>
      <c r="M438" s="29"/>
      <c r="N438" s="29"/>
      <c r="O438" s="29"/>
      <c r="P438" s="29"/>
      <c r="Q438" s="37" t="s">
        <v>1410</v>
      </c>
      <c r="R438" s="29"/>
      <c r="S438" s="29" t="s">
        <v>1409</v>
      </c>
      <c r="T438" s="26">
        <v>1471.8</v>
      </c>
      <c r="U438" s="100">
        <v>44306</v>
      </c>
      <c r="V438" s="100">
        <v>44336</v>
      </c>
      <c r="W438" s="26">
        <v>1471.8</v>
      </c>
    </row>
    <row r="439" spans="1:23" ht="38.25" customHeight="1">
      <c r="A439" s="29" t="s">
        <v>1405</v>
      </c>
      <c r="B439" s="29" t="s">
        <v>88</v>
      </c>
      <c r="C439" s="21" t="s">
        <v>83</v>
      </c>
      <c r="D439" s="88" t="s">
        <v>1406</v>
      </c>
      <c r="E439" s="21" t="s">
        <v>48</v>
      </c>
      <c r="F439" s="29"/>
      <c r="G439" s="29"/>
      <c r="H439" s="29"/>
      <c r="I439" s="29"/>
      <c r="J439" s="24"/>
      <c r="K439" s="29"/>
      <c r="L439" s="29"/>
      <c r="M439" s="29"/>
      <c r="N439" s="29"/>
      <c r="O439" s="29"/>
      <c r="P439" s="29"/>
      <c r="Q439" s="37" t="s">
        <v>1408</v>
      </c>
      <c r="R439" s="29"/>
      <c r="S439" s="29" t="s">
        <v>1407</v>
      </c>
      <c r="T439" s="26">
        <v>110000</v>
      </c>
      <c r="U439" s="100">
        <v>44317</v>
      </c>
      <c r="V439" s="100">
        <v>44926</v>
      </c>
      <c r="W439" s="28">
        <f>2209.27+2176.31+2390.54+200.98+3007.74+4768.15+4845.08</f>
        <v>19598.07</v>
      </c>
    </row>
    <row r="440" spans="1:23" ht="51" customHeight="1">
      <c r="A440" s="88" t="s">
        <v>1437</v>
      </c>
      <c r="B440" s="88">
        <v>80204250585</v>
      </c>
      <c r="C440" s="88" t="s">
        <v>267</v>
      </c>
      <c r="D440" s="88" t="s">
        <v>1438</v>
      </c>
      <c r="E440" s="21" t="s">
        <v>48</v>
      </c>
      <c r="F440" s="80"/>
      <c r="G440" s="80"/>
      <c r="H440" s="80"/>
      <c r="I440" s="80"/>
      <c r="J440" s="88">
        <v>933570327</v>
      </c>
      <c r="K440" s="80"/>
      <c r="L440" s="88" t="s">
        <v>1439</v>
      </c>
      <c r="M440" s="80"/>
      <c r="N440" s="80"/>
      <c r="O440" s="80"/>
      <c r="P440" s="80"/>
      <c r="Q440" s="88">
        <v>933570327</v>
      </c>
      <c r="R440" s="80"/>
      <c r="S440" s="88" t="s">
        <v>1439</v>
      </c>
      <c r="T440" s="89">
        <v>2758.75</v>
      </c>
      <c r="U440" s="105">
        <v>44481</v>
      </c>
      <c r="V440" s="105">
        <v>44484</v>
      </c>
      <c r="W440" s="90">
        <f>606.92+2758.75</f>
        <v>3365.67</v>
      </c>
    </row>
    <row r="441" spans="1:23" ht="63.75" customHeight="1">
      <c r="A441" s="88" t="s">
        <v>1440</v>
      </c>
      <c r="B441" s="88">
        <v>80204250585</v>
      </c>
      <c r="C441" s="88" t="s">
        <v>267</v>
      </c>
      <c r="D441" s="88" t="s">
        <v>1441</v>
      </c>
      <c r="E441" s="21" t="s">
        <v>39</v>
      </c>
      <c r="F441" s="80"/>
      <c r="G441" s="80"/>
      <c r="H441" s="80"/>
      <c r="I441" s="80"/>
      <c r="J441" s="80"/>
      <c r="K441" s="80"/>
      <c r="L441" s="80"/>
      <c r="M441" s="80"/>
      <c r="N441" s="80"/>
      <c r="O441" s="80"/>
      <c r="P441" s="80"/>
      <c r="Q441" s="88">
        <v>2936070982</v>
      </c>
      <c r="R441" s="80"/>
      <c r="S441" s="88" t="s">
        <v>1227</v>
      </c>
      <c r="T441" s="89">
        <v>1355</v>
      </c>
      <c r="U441" s="105">
        <v>44496</v>
      </c>
      <c r="V441" s="105">
        <v>44510</v>
      </c>
      <c r="W441" s="90">
        <v>1355</v>
      </c>
    </row>
    <row r="442" spans="1:23" s="25" customFormat="1" ht="51" customHeight="1">
      <c r="A442" s="88" t="s">
        <v>1442</v>
      </c>
      <c r="B442" s="88">
        <v>80204250585</v>
      </c>
      <c r="C442" s="21" t="s">
        <v>83</v>
      </c>
      <c r="D442" s="88" t="s">
        <v>1443</v>
      </c>
      <c r="E442" s="21" t="s">
        <v>48</v>
      </c>
      <c r="F442" s="80"/>
      <c r="G442" s="80"/>
      <c r="H442" s="80"/>
      <c r="I442" s="88" t="s">
        <v>1215</v>
      </c>
      <c r="J442" s="88" t="s">
        <v>1444</v>
      </c>
      <c r="K442" s="80"/>
      <c r="L442" s="88" t="s">
        <v>1445</v>
      </c>
      <c r="M442" s="80"/>
      <c r="N442" s="80"/>
      <c r="O442" s="80"/>
      <c r="P442" s="80"/>
      <c r="Q442" s="24" t="s">
        <v>887</v>
      </c>
      <c r="R442" s="80"/>
      <c r="S442" s="88" t="s">
        <v>1446</v>
      </c>
      <c r="T442" s="89">
        <v>2580.9</v>
      </c>
      <c r="U442" s="100">
        <v>44496</v>
      </c>
      <c r="V442" s="100">
        <v>44530</v>
      </c>
      <c r="W442" s="90">
        <v>2580.9</v>
      </c>
    </row>
    <row r="443" spans="1:23" s="25" customFormat="1" ht="115.5" customHeight="1">
      <c r="A443" s="54" t="s">
        <v>1337</v>
      </c>
      <c r="B443" s="54">
        <v>80204250585</v>
      </c>
      <c r="C443" s="54" t="s">
        <v>267</v>
      </c>
      <c r="D443" s="54" t="s">
        <v>1338</v>
      </c>
      <c r="E443" s="54" t="s">
        <v>51</v>
      </c>
      <c r="F443" s="22"/>
      <c r="G443" s="22"/>
      <c r="H443" s="22"/>
      <c r="I443" s="22"/>
      <c r="J443" s="24" t="s">
        <v>1398</v>
      </c>
      <c r="K443" s="22"/>
      <c r="L443" s="54" t="s">
        <v>1339</v>
      </c>
      <c r="M443" s="22"/>
      <c r="N443" s="22"/>
      <c r="O443" s="22"/>
      <c r="P443" s="22"/>
      <c r="Q443" s="24" t="s">
        <v>1398</v>
      </c>
      <c r="R443" s="22"/>
      <c r="S443" s="54" t="s">
        <v>1339</v>
      </c>
      <c r="T443" s="114">
        <v>1227760</v>
      </c>
      <c r="U443" s="104">
        <v>44470</v>
      </c>
      <c r="V443" s="104">
        <v>45199</v>
      </c>
      <c r="W443" s="114">
        <f>1752.53+8450.18+21487.22</f>
        <v>31689.93</v>
      </c>
    </row>
    <row r="444" spans="1:23" s="25" customFormat="1" ht="102" customHeight="1">
      <c r="A444" s="88" t="s">
        <v>1449</v>
      </c>
      <c r="B444" s="88">
        <v>80204250585</v>
      </c>
      <c r="C444" s="88" t="s">
        <v>267</v>
      </c>
      <c r="D444" s="88" t="s">
        <v>1596</v>
      </c>
      <c r="E444" s="21" t="s">
        <v>48</v>
      </c>
      <c r="F444" s="80"/>
      <c r="G444" s="80"/>
      <c r="H444" s="80"/>
      <c r="I444" s="80"/>
      <c r="J444" s="80"/>
      <c r="K444" s="80"/>
      <c r="L444" s="80"/>
      <c r="M444" s="80"/>
      <c r="N444" s="80"/>
      <c r="O444" s="80"/>
      <c r="P444" s="80"/>
      <c r="Q444" s="88">
        <v>10686030015</v>
      </c>
      <c r="R444" s="80"/>
      <c r="S444" s="88" t="s">
        <v>713</v>
      </c>
      <c r="T444" s="89">
        <v>7040</v>
      </c>
      <c r="U444" s="105">
        <v>44510</v>
      </c>
      <c r="V444" s="105">
        <v>44895</v>
      </c>
      <c r="W444" s="90">
        <v>0</v>
      </c>
    </row>
    <row r="445" spans="1:23" s="25" customFormat="1" ht="63.75" customHeight="1">
      <c r="A445" s="88" t="s">
        <v>1451</v>
      </c>
      <c r="B445" s="88">
        <v>80204250585</v>
      </c>
      <c r="C445" s="88" t="s">
        <v>267</v>
      </c>
      <c r="D445" s="88" t="s">
        <v>1588</v>
      </c>
      <c r="E445" s="21" t="s">
        <v>48</v>
      </c>
      <c r="F445" s="80"/>
      <c r="G445" s="80"/>
      <c r="H445" s="80"/>
      <c r="I445" s="80"/>
      <c r="J445" s="24" t="s">
        <v>235</v>
      </c>
      <c r="K445" s="80"/>
      <c r="L445" s="88" t="s">
        <v>1452</v>
      </c>
      <c r="M445" s="80"/>
      <c r="N445" s="80"/>
      <c r="O445" s="80"/>
      <c r="P445" s="80"/>
      <c r="Q445" s="88">
        <v>1850570746</v>
      </c>
      <c r="R445" s="80"/>
      <c r="S445" s="88" t="s">
        <v>1453</v>
      </c>
      <c r="T445" s="89">
        <v>14700</v>
      </c>
      <c r="U445" s="105">
        <v>44513</v>
      </c>
      <c r="V445" s="105">
        <v>45242</v>
      </c>
      <c r="W445" s="90">
        <v>7350</v>
      </c>
    </row>
    <row r="446" spans="1:23" s="25" customFormat="1" ht="102" customHeight="1">
      <c r="A446" s="88" t="s">
        <v>1454</v>
      </c>
      <c r="B446" s="88">
        <v>80204250585</v>
      </c>
      <c r="C446" s="88" t="s">
        <v>267</v>
      </c>
      <c r="D446" s="88" t="s">
        <v>1450</v>
      </c>
      <c r="E446" s="21" t="s">
        <v>48</v>
      </c>
      <c r="F446" s="80"/>
      <c r="G446" s="80"/>
      <c r="H446" s="80"/>
      <c r="I446" s="80"/>
      <c r="J446" s="80"/>
      <c r="K446" s="80"/>
      <c r="L446" s="80"/>
      <c r="M446" s="80"/>
      <c r="N446" s="80"/>
      <c r="O446" s="80"/>
      <c r="P446" s="80"/>
      <c r="Q446" s="88">
        <v>4637850753</v>
      </c>
      <c r="R446" s="80"/>
      <c r="S446" s="88" t="s">
        <v>842</v>
      </c>
      <c r="T446" s="89">
        <v>6000</v>
      </c>
      <c r="U446" s="105">
        <v>44510</v>
      </c>
      <c r="V446" s="105">
        <v>44895</v>
      </c>
      <c r="W446" s="90">
        <v>0</v>
      </c>
    </row>
    <row r="447" spans="1:23" ht="51" customHeight="1">
      <c r="A447" s="88" t="s">
        <v>1455</v>
      </c>
      <c r="B447" s="88">
        <v>80204250585</v>
      </c>
      <c r="C447" s="88" t="s">
        <v>267</v>
      </c>
      <c r="D447" s="88" t="s">
        <v>1456</v>
      </c>
      <c r="E447" s="21" t="s">
        <v>48</v>
      </c>
      <c r="F447" s="80"/>
      <c r="G447" s="80"/>
      <c r="H447" s="80"/>
      <c r="I447" s="80"/>
      <c r="J447" s="80"/>
      <c r="K447" s="80"/>
      <c r="L447" s="80"/>
      <c r="M447" s="80"/>
      <c r="N447" s="80"/>
      <c r="O447" s="80"/>
      <c r="P447" s="80"/>
      <c r="Q447" s="80"/>
      <c r="R447" s="80"/>
      <c r="S447" s="88" t="s">
        <v>1457</v>
      </c>
      <c r="T447" s="90">
        <v>860</v>
      </c>
      <c r="U447" s="105">
        <v>44538</v>
      </c>
      <c r="V447" s="105">
        <v>44561</v>
      </c>
      <c r="W447" s="90">
        <v>0</v>
      </c>
    </row>
    <row r="448" spans="1:23" ht="63.75" customHeight="1">
      <c r="A448" s="88" t="s">
        <v>1477</v>
      </c>
      <c r="B448" s="88">
        <v>80204250585</v>
      </c>
      <c r="C448" s="88" t="s">
        <v>267</v>
      </c>
      <c r="D448" s="88" t="s">
        <v>1458</v>
      </c>
      <c r="E448" s="21" t="s">
        <v>48</v>
      </c>
      <c r="F448" s="80"/>
      <c r="G448" s="80"/>
      <c r="H448" s="80"/>
      <c r="I448" s="80"/>
      <c r="J448" s="88">
        <v>4075031007</v>
      </c>
      <c r="K448" s="88" t="s">
        <v>1459</v>
      </c>
      <c r="L448" s="80"/>
      <c r="M448" s="80"/>
      <c r="N448" s="80"/>
      <c r="O448" s="80"/>
      <c r="P448" s="80"/>
      <c r="Q448" s="88">
        <v>4075031007</v>
      </c>
      <c r="R448" s="80"/>
      <c r="S448" s="88" t="s">
        <v>1459</v>
      </c>
      <c r="T448" s="89">
        <v>9200</v>
      </c>
      <c r="U448" s="105">
        <v>44489</v>
      </c>
      <c r="V448" s="105">
        <v>44520</v>
      </c>
      <c r="W448" s="89">
        <v>9200</v>
      </c>
    </row>
    <row r="449" spans="1:23" ht="51" customHeight="1">
      <c r="A449" s="88" t="s">
        <v>1460</v>
      </c>
      <c r="B449" s="88">
        <v>80204250585</v>
      </c>
      <c r="C449" s="88" t="s">
        <v>267</v>
      </c>
      <c r="D449" s="88" t="s">
        <v>1461</v>
      </c>
      <c r="E449" s="21" t="s">
        <v>48</v>
      </c>
      <c r="F449" s="80"/>
      <c r="G449" s="80"/>
      <c r="H449" s="80"/>
      <c r="I449" s="80"/>
      <c r="J449" s="88">
        <v>6736060630</v>
      </c>
      <c r="K449" s="80"/>
      <c r="L449" s="88" t="s">
        <v>1462</v>
      </c>
      <c r="M449" s="80"/>
      <c r="N449" s="80"/>
      <c r="O449" s="80"/>
      <c r="P449" s="80"/>
      <c r="Q449" s="88">
        <v>6736060630</v>
      </c>
      <c r="R449" s="80"/>
      <c r="S449" s="88" t="s">
        <v>1462</v>
      </c>
      <c r="T449" s="89">
        <v>1017.5</v>
      </c>
      <c r="U449" s="105">
        <v>44475</v>
      </c>
      <c r="V449" s="105">
        <v>44497</v>
      </c>
      <c r="W449" s="90">
        <v>1017.5</v>
      </c>
    </row>
    <row r="450" spans="1:23" s="94" customFormat="1" ht="51" customHeight="1">
      <c r="A450" s="88" t="s">
        <v>1463</v>
      </c>
      <c r="B450" s="88">
        <v>80204250585</v>
      </c>
      <c r="C450" s="88" t="s">
        <v>267</v>
      </c>
      <c r="D450" s="88" t="s">
        <v>1464</v>
      </c>
      <c r="E450" s="21" t="s">
        <v>48</v>
      </c>
      <c r="F450" s="80"/>
      <c r="G450" s="80"/>
      <c r="H450" s="80"/>
      <c r="I450" s="80"/>
      <c r="J450" s="80"/>
      <c r="K450" s="80"/>
      <c r="L450" s="80"/>
      <c r="M450" s="80"/>
      <c r="N450" s="80"/>
      <c r="O450" s="80"/>
      <c r="P450" s="80"/>
      <c r="Q450" s="88">
        <v>11929530159</v>
      </c>
      <c r="R450" s="80"/>
      <c r="S450" s="88" t="s">
        <v>1465</v>
      </c>
      <c r="T450" s="89">
        <v>73311.56</v>
      </c>
      <c r="U450" s="105">
        <v>44494</v>
      </c>
      <c r="V450" s="105">
        <v>44494</v>
      </c>
      <c r="W450" s="90">
        <v>73311.56</v>
      </c>
    </row>
    <row r="451" spans="1:23" s="25" customFormat="1" ht="51">
      <c r="A451" s="88" t="s">
        <v>1473</v>
      </c>
      <c r="B451" s="88">
        <v>80204250585</v>
      </c>
      <c r="C451" s="88" t="s">
        <v>267</v>
      </c>
      <c r="D451" s="88" t="s">
        <v>1474</v>
      </c>
      <c r="E451" s="127" t="s">
        <v>48</v>
      </c>
      <c r="F451" s="136"/>
      <c r="G451" s="136"/>
      <c r="H451" s="136"/>
      <c r="I451" s="136"/>
      <c r="J451" s="136"/>
      <c r="K451" s="136"/>
      <c r="L451" s="136"/>
      <c r="M451" s="136"/>
      <c r="N451" s="136"/>
      <c r="O451" s="136"/>
      <c r="P451" s="136"/>
      <c r="Q451" s="137"/>
      <c r="R451" s="136"/>
      <c r="S451" s="137"/>
      <c r="T451" s="124">
        <v>0</v>
      </c>
      <c r="U451" s="138"/>
      <c r="V451" s="138"/>
      <c r="W451" s="123">
        <v>0</v>
      </c>
    </row>
    <row r="452" spans="1:23" s="25" customFormat="1" ht="60">
      <c r="A452" s="88" t="s">
        <v>1475</v>
      </c>
      <c r="B452" s="88">
        <v>80204250585</v>
      </c>
      <c r="C452" s="88" t="s">
        <v>267</v>
      </c>
      <c r="D452" s="88" t="s">
        <v>1476</v>
      </c>
      <c r="E452" s="127" t="s">
        <v>51</v>
      </c>
      <c r="F452" s="136"/>
      <c r="G452" s="136"/>
      <c r="H452" s="136"/>
      <c r="I452" s="136"/>
      <c r="J452" s="136"/>
      <c r="K452" s="136"/>
      <c r="L452" s="136"/>
      <c r="M452" s="136"/>
      <c r="N452" s="136"/>
      <c r="O452" s="136"/>
      <c r="P452" s="136"/>
      <c r="Q452" s="137"/>
      <c r="R452" s="136"/>
      <c r="S452" s="137"/>
      <c r="T452" s="124">
        <v>0</v>
      </c>
      <c r="U452" s="138"/>
      <c r="V452" s="138"/>
      <c r="W452" s="123">
        <v>0</v>
      </c>
    </row>
    <row r="453" spans="1:23" ht="82.5" customHeight="1">
      <c r="A453" s="30" t="s">
        <v>1469</v>
      </c>
      <c r="B453" s="88">
        <v>80204250585</v>
      </c>
      <c r="C453" s="88" t="s">
        <v>267</v>
      </c>
      <c r="D453" s="81" t="s">
        <v>1468</v>
      </c>
      <c r="E453" s="21" t="s">
        <v>51</v>
      </c>
      <c r="F453" s="133"/>
      <c r="G453" s="133"/>
      <c r="H453" s="133"/>
      <c r="I453" s="133"/>
      <c r="J453" s="134"/>
      <c r="K453" s="133"/>
      <c r="L453" s="133"/>
      <c r="M453" s="133"/>
      <c r="N453" s="133"/>
      <c r="O453" s="133"/>
      <c r="P453" s="133"/>
      <c r="Q453" s="134"/>
      <c r="R453" s="133"/>
      <c r="S453" s="133"/>
      <c r="T453" s="124">
        <v>0</v>
      </c>
      <c r="U453" s="135"/>
      <c r="V453" s="135"/>
      <c r="W453" s="123">
        <v>0</v>
      </c>
    </row>
    <row r="454" spans="1:23" ht="60" customHeight="1">
      <c r="A454" s="30" t="s">
        <v>1472</v>
      </c>
      <c r="B454" s="88">
        <v>80204250585</v>
      </c>
      <c r="C454" s="88" t="s">
        <v>267</v>
      </c>
      <c r="D454" s="81" t="s">
        <v>1471</v>
      </c>
      <c r="E454" s="21" t="s">
        <v>39</v>
      </c>
      <c r="F454" s="29"/>
      <c r="G454" s="29"/>
      <c r="H454" s="29"/>
      <c r="I454" s="29"/>
      <c r="J454" s="24"/>
      <c r="K454" s="29"/>
      <c r="L454" s="29"/>
      <c r="M454" s="29"/>
      <c r="N454" s="29"/>
      <c r="O454" s="29"/>
      <c r="P454" s="29"/>
      <c r="Q454" s="36" t="s">
        <v>152</v>
      </c>
      <c r="R454" s="29"/>
      <c r="S454" s="21" t="s">
        <v>260</v>
      </c>
      <c r="T454" s="89">
        <v>255223.67999999999</v>
      </c>
      <c r="U454" s="105">
        <v>44562</v>
      </c>
      <c r="V454" s="105">
        <v>44926</v>
      </c>
      <c r="W454" s="28">
        <v>0</v>
      </c>
    </row>
    <row r="455" spans="1:23" ht="63.75" customHeight="1">
      <c r="A455" s="88" t="s">
        <v>1485</v>
      </c>
      <c r="B455" s="88">
        <v>80204250585</v>
      </c>
      <c r="C455" s="88" t="s">
        <v>267</v>
      </c>
      <c r="D455" s="88" t="s">
        <v>1486</v>
      </c>
      <c r="E455" s="21" t="s">
        <v>39</v>
      </c>
      <c r="F455" s="80"/>
      <c r="G455" s="80"/>
      <c r="H455" s="80"/>
      <c r="I455" s="80"/>
      <c r="J455" s="88">
        <v>10556200961</v>
      </c>
      <c r="K455" s="80"/>
      <c r="L455" s="88" t="s">
        <v>1487</v>
      </c>
      <c r="M455" s="80"/>
      <c r="N455" s="80"/>
      <c r="O455" s="80"/>
      <c r="P455" s="80"/>
      <c r="Q455" s="88">
        <v>10556200961</v>
      </c>
      <c r="R455" s="80"/>
      <c r="S455" s="88" t="s">
        <v>438</v>
      </c>
      <c r="T455" s="89">
        <v>10600</v>
      </c>
      <c r="U455" s="105">
        <v>44562</v>
      </c>
      <c r="V455" s="105">
        <v>44926</v>
      </c>
      <c r="W455" s="90">
        <v>0</v>
      </c>
    </row>
    <row r="456" spans="1:23" ht="38.25" customHeight="1">
      <c r="A456" s="88" t="s">
        <v>1488</v>
      </c>
      <c r="B456" s="88">
        <v>80204250585</v>
      </c>
      <c r="C456" s="88" t="s">
        <v>267</v>
      </c>
      <c r="D456" s="88" t="s">
        <v>1489</v>
      </c>
      <c r="E456" s="21" t="s">
        <v>48</v>
      </c>
      <c r="F456" s="80"/>
      <c r="G456" s="80"/>
      <c r="H456" s="80"/>
      <c r="I456" s="80"/>
      <c r="J456" s="80"/>
      <c r="K456" s="80"/>
      <c r="L456" s="80"/>
      <c r="M456" s="80"/>
      <c r="N456" s="80"/>
      <c r="O456" s="80"/>
      <c r="P456" s="80"/>
      <c r="Q456" s="88">
        <v>7312041002</v>
      </c>
      <c r="R456" s="80"/>
      <c r="S456" s="88" t="s">
        <v>653</v>
      </c>
      <c r="T456" s="89">
        <v>10000</v>
      </c>
      <c r="U456" s="105">
        <v>44562</v>
      </c>
      <c r="V456" s="105">
        <v>44926</v>
      </c>
      <c r="W456" s="90">
        <v>0</v>
      </c>
    </row>
    <row r="457" spans="1:23" ht="38.25" customHeight="1">
      <c r="A457" s="88" t="s">
        <v>1490</v>
      </c>
      <c r="B457" s="88">
        <v>80204250585</v>
      </c>
      <c r="C457" s="88" t="s">
        <v>267</v>
      </c>
      <c r="D457" s="88" t="s">
        <v>1491</v>
      </c>
      <c r="E457" s="21" t="s">
        <v>48</v>
      </c>
      <c r="F457" s="80"/>
      <c r="G457" s="80"/>
      <c r="H457" s="80"/>
      <c r="I457" s="80"/>
      <c r="J457" s="80"/>
      <c r="K457" s="80"/>
      <c r="L457" s="80"/>
      <c r="M457" s="80"/>
      <c r="N457" s="80"/>
      <c r="O457" s="80"/>
      <c r="P457" s="80"/>
      <c r="Q457" s="88">
        <v>7312041002</v>
      </c>
      <c r="R457" s="80"/>
      <c r="S457" s="88" t="s">
        <v>653</v>
      </c>
      <c r="T457" s="89">
        <v>5000</v>
      </c>
      <c r="U457" s="105">
        <v>44562</v>
      </c>
      <c r="V457" s="105">
        <v>44926</v>
      </c>
      <c r="W457" s="90">
        <v>0</v>
      </c>
    </row>
    <row r="458" spans="1:23" s="25" customFormat="1" ht="63.75" customHeight="1">
      <c r="A458" s="29" t="s">
        <v>1492</v>
      </c>
      <c r="B458" s="88">
        <v>80204250585</v>
      </c>
      <c r="C458" s="88" t="s">
        <v>267</v>
      </c>
      <c r="D458" s="88" t="s">
        <v>1493</v>
      </c>
      <c r="E458" s="21" t="s">
        <v>39</v>
      </c>
      <c r="F458" s="80"/>
      <c r="G458" s="80"/>
      <c r="H458" s="80"/>
      <c r="I458" s="80"/>
      <c r="J458" s="88" t="s">
        <v>1494</v>
      </c>
      <c r="K458" s="80"/>
      <c r="L458" s="88" t="s">
        <v>1495</v>
      </c>
      <c r="M458" s="80"/>
      <c r="N458" s="80"/>
      <c r="O458" s="80"/>
      <c r="P458" s="80"/>
      <c r="Q458" s="88">
        <v>2313821007</v>
      </c>
      <c r="R458" s="80"/>
      <c r="S458" s="88" t="s">
        <v>640</v>
      </c>
      <c r="T458" s="89">
        <v>18000</v>
      </c>
      <c r="U458" s="105">
        <v>44562</v>
      </c>
      <c r="V458" s="105">
        <v>44926</v>
      </c>
      <c r="W458" s="90">
        <v>0</v>
      </c>
    </row>
    <row r="459" spans="1:23" ht="102" customHeight="1">
      <c r="A459" s="88" t="s">
        <v>1496</v>
      </c>
      <c r="B459" s="88">
        <v>80204250585</v>
      </c>
      <c r="C459" s="88" t="s">
        <v>267</v>
      </c>
      <c r="D459" s="88" t="s">
        <v>1497</v>
      </c>
      <c r="E459" s="21" t="s">
        <v>39</v>
      </c>
      <c r="F459" s="80"/>
      <c r="G459" s="80"/>
      <c r="H459" s="80"/>
      <c r="I459" s="80"/>
      <c r="J459" s="88">
        <v>10100001006</v>
      </c>
      <c r="K459" s="80"/>
      <c r="L459" s="88" t="s">
        <v>1498</v>
      </c>
      <c r="M459" s="80"/>
      <c r="N459" s="80"/>
      <c r="O459" s="80"/>
      <c r="P459" s="80"/>
      <c r="Q459" s="88">
        <v>10100001006</v>
      </c>
      <c r="R459" s="80"/>
      <c r="S459" s="88" t="s">
        <v>439</v>
      </c>
      <c r="T459" s="89">
        <v>13400</v>
      </c>
      <c r="U459" s="105">
        <v>44562</v>
      </c>
      <c r="V459" s="105">
        <v>44926</v>
      </c>
      <c r="W459" s="90">
        <v>0</v>
      </c>
    </row>
    <row r="460" spans="1:23" ht="102" customHeight="1">
      <c r="A460" s="88" t="s">
        <v>1499</v>
      </c>
      <c r="B460" s="88">
        <v>80204250585</v>
      </c>
      <c r="C460" s="88" t="s">
        <v>267</v>
      </c>
      <c r="D460" s="88" t="s">
        <v>1500</v>
      </c>
      <c r="E460" s="21" t="s">
        <v>39</v>
      </c>
      <c r="F460" s="80"/>
      <c r="G460" s="80"/>
      <c r="H460" s="80"/>
      <c r="I460" s="80"/>
      <c r="J460" s="88">
        <v>10100001006</v>
      </c>
      <c r="K460" s="80"/>
      <c r="L460" s="88" t="s">
        <v>1501</v>
      </c>
      <c r="M460" s="80"/>
      <c r="N460" s="80"/>
      <c r="O460" s="80"/>
      <c r="P460" s="80"/>
      <c r="Q460" s="88">
        <v>10100001006</v>
      </c>
      <c r="R460" s="80"/>
      <c r="S460" s="88" t="s">
        <v>439</v>
      </c>
      <c r="T460" s="89">
        <v>18600</v>
      </c>
      <c r="U460" s="105">
        <v>44562</v>
      </c>
      <c r="V460" s="105">
        <v>44926</v>
      </c>
      <c r="W460" s="90">
        <v>0</v>
      </c>
    </row>
    <row r="461" spans="1:23" ht="102" customHeight="1">
      <c r="A461" s="88" t="s">
        <v>1502</v>
      </c>
      <c r="B461" s="88">
        <v>80204250585</v>
      </c>
      <c r="C461" s="88" t="s">
        <v>267</v>
      </c>
      <c r="D461" s="88" t="s">
        <v>1503</v>
      </c>
      <c r="E461" s="21" t="s">
        <v>39</v>
      </c>
      <c r="F461" s="80"/>
      <c r="G461" s="80"/>
      <c r="H461" s="80"/>
      <c r="I461" s="80"/>
      <c r="J461" s="88">
        <v>10556200961</v>
      </c>
      <c r="K461" s="80"/>
      <c r="L461" s="88" t="s">
        <v>1487</v>
      </c>
      <c r="M461" s="80"/>
      <c r="N461" s="80"/>
      <c r="O461" s="80"/>
      <c r="P461" s="80"/>
      <c r="Q461" s="88">
        <v>10556200961</v>
      </c>
      <c r="R461" s="80"/>
      <c r="S461" s="88" t="s">
        <v>438</v>
      </c>
      <c r="T461" s="89">
        <v>39000</v>
      </c>
      <c r="U461" s="105">
        <v>44562</v>
      </c>
      <c r="V461" s="105">
        <v>44926</v>
      </c>
      <c r="W461" s="90">
        <v>0</v>
      </c>
    </row>
    <row r="462" spans="1:23" ht="89.25" customHeight="1">
      <c r="A462" s="88" t="s">
        <v>1504</v>
      </c>
      <c r="B462" s="88">
        <v>80204250585</v>
      </c>
      <c r="C462" s="88" t="s">
        <v>267</v>
      </c>
      <c r="D462" s="88" t="s">
        <v>1505</v>
      </c>
      <c r="E462" s="21" t="s">
        <v>39</v>
      </c>
      <c r="F462" s="80"/>
      <c r="G462" s="80"/>
      <c r="H462" s="80"/>
      <c r="I462" s="80"/>
      <c r="J462" s="88" t="s">
        <v>1506</v>
      </c>
      <c r="K462" s="80"/>
      <c r="L462" s="88" t="s">
        <v>1507</v>
      </c>
      <c r="M462" s="80"/>
      <c r="N462" s="80"/>
      <c r="O462" s="80"/>
      <c r="P462" s="80"/>
      <c r="Q462" s="88">
        <v>1739090460</v>
      </c>
      <c r="R462" s="80"/>
      <c r="S462" s="88" t="s">
        <v>435</v>
      </c>
      <c r="T462" s="89">
        <v>5500</v>
      </c>
      <c r="U462" s="105">
        <v>44562</v>
      </c>
      <c r="V462" s="105">
        <v>44926</v>
      </c>
      <c r="W462" s="90">
        <v>0</v>
      </c>
    </row>
    <row r="463" spans="1:23" ht="51" customHeight="1">
      <c r="A463" s="88" t="s">
        <v>1508</v>
      </c>
      <c r="B463" s="88">
        <v>80204250585</v>
      </c>
      <c r="C463" s="88" t="s">
        <v>267</v>
      </c>
      <c r="D463" s="88" t="s">
        <v>1509</v>
      </c>
      <c r="E463" s="88" t="s">
        <v>51</v>
      </c>
      <c r="F463" s="80"/>
      <c r="G463" s="80"/>
      <c r="H463" s="80"/>
      <c r="I463" s="80"/>
      <c r="J463" s="88">
        <v>5231661009</v>
      </c>
      <c r="K463" s="80"/>
      <c r="L463" s="88" t="s">
        <v>1510</v>
      </c>
      <c r="M463" s="80"/>
      <c r="N463" s="80"/>
      <c r="O463" s="80"/>
      <c r="P463" s="80"/>
      <c r="Q463" s="88">
        <v>5231661009</v>
      </c>
      <c r="R463" s="80"/>
      <c r="S463" s="88" t="s">
        <v>785</v>
      </c>
      <c r="T463" s="89">
        <v>71975.34</v>
      </c>
      <c r="U463" s="105">
        <v>44562</v>
      </c>
      <c r="V463" s="105">
        <v>45657</v>
      </c>
      <c r="W463" s="90">
        <v>0</v>
      </c>
    </row>
    <row r="464" spans="1:23" ht="140.25" customHeight="1">
      <c r="A464" s="88" t="s">
        <v>1511</v>
      </c>
      <c r="B464" s="88">
        <v>80204250585</v>
      </c>
      <c r="C464" s="88" t="s">
        <v>267</v>
      </c>
      <c r="D464" s="88" t="s">
        <v>1512</v>
      </c>
      <c r="E464" s="21" t="s">
        <v>39</v>
      </c>
      <c r="F464" s="80"/>
      <c r="G464" s="80"/>
      <c r="H464" s="80"/>
      <c r="I464" s="80"/>
      <c r="J464" s="88">
        <v>13211660157</v>
      </c>
      <c r="K464" s="80"/>
      <c r="L464" s="88" t="s">
        <v>1513</v>
      </c>
      <c r="M464" s="80"/>
      <c r="N464" s="80"/>
      <c r="O464" s="80"/>
      <c r="P464" s="80"/>
      <c r="Q464" s="88">
        <v>13211660157</v>
      </c>
      <c r="R464" s="80"/>
      <c r="S464" s="88" t="s">
        <v>436</v>
      </c>
      <c r="T464" s="89">
        <v>12000</v>
      </c>
      <c r="U464" s="105">
        <v>44562</v>
      </c>
      <c r="V464" s="105">
        <v>44926</v>
      </c>
      <c r="W464" s="90">
        <v>0</v>
      </c>
    </row>
    <row r="465" spans="1:23" ht="114.75" customHeight="1">
      <c r="A465" s="88" t="s">
        <v>1514</v>
      </c>
      <c r="B465" s="88">
        <v>80204250585</v>
      </c>
      <c r="C465" s="88" t="s">
        <v>267</v>
      </c>
      <c r="D465" s="88" t="s">
        <v>1515</v>
      </c>
      <c r="E465" s="21" t="s">
        <v>39</v>
      </c>
      <c r="F465" s="80"/>
      <c r="G465" s="80"/>
      <c r="H465" s="80"/>
      <c r="I465" s="80"/>
      <c r="J465" s="88">
        <v>11139860156</v>
      </c>
      <c r="K465" s="80"/>
      <c r="L465" s="88" t="s">
        <v>434</v>
      </c>
      <c r="M465" s="80"/>
      <c r="N465" s="80"/>
      <c r="O465" s="80"/>
      <c r="P465" s="80"/>
      <c r="Q465" s="88">
        <v>11139860156</v>
      </c>
      <c r="R465" s="80"/>
      <c r="S465" s="88" t="s">
        <v>434</v>
      </c>
      <c r="T465" s="89">
        <v>48890</v>
      </c>
      <c r="U465" s="105">
        <v>44562</v>
      </c>
      <c r="V465" s="105">
        <v>44926</v>
      </c>
      <c r="W465" s="90">
        <v>0</v>
      </c>
    </row>
    <row r="466" spans="1:23" s="25" customFormat="1" ht="60.75" customHeight="1">
      <c r="A466" s="88" t="s">
        <v>1433</v>
      </c>
      <c r="B466" s="88">
        <v>80204250585</v>
      </c>
      <c r="C466" s="88" t="s">
        <v>267</v>
      </c>
      <c r="D466" s="88" t="s">
        <v>1570</v>
      </c>
      <c r="E466" s="21" t="s">
        <v>39</v>
      </c>
      <c r="F466" s="80"/>
      <c r="G466" s="80"/>
      <c r="H466" s="80"/>
      <c r="I466" s="80"/>
      <c r="J466" s="80"/>
      <c r="K466" s="80"/>
      <c r="L466" s="80"/>
      <c r="M466" s="80"/>
      <c r="N466" s="80"/>
      <c r="O466" s="80"/>
      <c r="P466" s="80"/>
      <c r="Q466" s="88">
        <v>1501640666</v>
      </c>
      <c r="R466" s="80"/>
      <c r="S466" s="88" t="s">
        <v>1434</v>
      </c>
      <c r="T466" s="89">
        <v>4776.8900000000003</v>
      </c>
      <c r="U466" s="105">
        <v>44512</v>
      </c>
      <c r="V466" s="105">
        <v>44877</v>
      </c>
      <c r="W466" s="89">
        <f>1050.91+4776.84</f>
        <v>5827.75</v>
      </c>
    </row>
    <row r="467" spans="1:23" s="25" customFormat="1" ht="63.75" customHeight="1">
      <c r="A467" s="88" t="s">
        <v>1516</v>
      </c>
      <c r="B467" s="88">
        <v>80204250585</v>
      </c>
      <c r="C467" s="21" t="s">
        <v>83</v>
      </c>
      <c r="D467" s="88" t="s">
        <v>1517</v>
      </c>
      <c r="E467" s="21" t="s">
        <v>48</v>
      </c>
      <c r="F467" s="80"/>
      <c r="G467" s="80"/>
      <c r="H467" s="80"/>
      <c r="I467" s="80"/>
      <c r="J467" s="24" t="s">
        <v>1597</v>
      </c>
      <c r="K467" s="80"/>
      <c r="L467" s="88" t="s">
        <v>1518</v>
      </c>
      <c r="M467" s="80"/>
      <c r="N467" s="80"/>
      <c r="O467" s="80"/>
      <c r="P467" s="80"/>
      <c r="Q467" s="24" t="s">
        <v>1597</v>
      </c>
      <c r="R467" s="80"/>
      <c r="S467" s="88" t="s">
        <v>1096</v>
      </c>
      <c r="T467" s="89">
        <v>5000</v>
      </c>
      <c r="U467" s="105">
        <v>44562</v>
      </c>
      <c r="V467" s="105">
        <v>44742</v>
      </c>
      <c r="W467" s="90">
        <v>0</v>
      </c>
    </row>
    <row r="468" spans="1:23" s="25" customFormat="1" ht="63.75" customHeight="1">
      <c r="A468" s="88" t="s">
        <v>1519</v>
      </c>
      <c r="B468" s="88">
        <v>80204250585</v>
      </c>
      <c r="C468" s="21" t="s">
        <v>83</v>
      </c>
      <c r="D468" s="88" t="s">
        <v>1520</v>
      </c>
      <c r="E468" s="21" t="s">
        <v>48</v>
      </c>
      <c r="F468" s="80"/>
      <c r="G468" s="80"/>
      <c r="H468" s="80"/>
      <c r="I468" s="80"/>
      <c r="J468" s="24" t="s">
        <v>1598</v>
      </c>
      <c r="K468" s="80"/>
      <c r="L468" s="88" t="s">
        <v>1521</v>
      </c>
      <c r="M468" s="80"/>
      <c r="N468" s="80"/>
      <c r="O468" s="80"/>
      <c r="P468" s="80"/>
      <c r="Q468" s="24" t="s">
        <v>1598</v>
      </c>
      <c r="R468" s="80"/>
      <c r="S468" s="88" t="s">
        <v>1101</v>
      </c>
      <c r="T468" s="89">
        <v>3000</v>
      </c>
      <c r="U468" s="105">
        <v>44562</v>
      </c>
      <c r="V468" s="105">
        <v>44742</v>
      </c>
      <c r="W468" s="90">
        <v>0</v>
      </c>
    </row>
    <row r="469" spans="1:23" ht="63.75" customHeight="1">
      <c r="A469" s="88" t="s">
        <v>1522</v>
      </c>
      <c r="B469" s="88">
        <v>80204250585</v>
      </c>
      <c r="C469" s="88" t="s">
        <v>267</v>
      </c>
      <c r="D469" s="88" t="s">
        <v>1523</v>
      </c>
      <c r="E469" s="21" t="s">
        <v>48</v>
      </c>
      <c r="F469" s="80"/>
      <c r="G469" s="80"/>
      <c r="H469" s="80"/>
      <c r="I469" s="80"/>
      <c r="J469" s="88">
        <v>27203120150</v>
      </c>
      <c r="K469" s="80"/>
      <c r="L469" s="88" t="s">
        <v>168</v>
      </c>
      <c r="M469" s="80"/>
      <c r="N469" s="80"/>
      <c r="O469" s="80"/>
      <c r="P469" s="80"/>
      <c r="Q469" s="88">
        <v>2703120150</v>
      </c>
      <c r="R469" s="80"/>
      <c r="S469" s="88" t="s">
        <v>168</v>
      </c>
      <c r="T469" s="89">
        <v>4000</v>
      </c>
      <c r="U469" s="105">
        <v>44562</v>
      </c>
      <c r="V469" s="117"/>
      <c r="W469" s="90">
        <v>0</v>
      </c>
    </row>
    <row r="470" spans="1:23" ht="63.75" customHeight="1">
      <c r="A470" s="88" t="s">
        <v>1524</v>
      </c>
      <c r="B470" s="88">
        <v>80204250585</v>
      </c>
      <c r="C470" s="88" t="s">
        <v>267</v>
      </c>
      <c r="D470" s="88" t="s">
        <v>1525</v>
      </c>
      <c r="E470" s="88" t="s">
        <v>51</v>
      </c>
      <c r="F470" s="80"/>
      <c r="G470" s="80"/>
      <c r="H470" s="80"/>
      <c r="I470" s="80"/>
      <c r="J470" s="80"/>
      <c r="K470" s="80"/>
      <c r="L470" s="80"/>
      <c r="M470" s="80"/>
      <c r="N470" s="80"/>
      <c r="O470" s="80"/>
      <c r="P470" s="80"/>
      <c r="Q470" s="88">
        <v>4472901000</v>
      </c>
      <c r="R470" s="80"/>
      <c r="S470" s="88" t="s">
        <v>980</v>
      </c>
      <c r="T470" s="89">
        <v>31526.5</v>
      </c>
      <c r="U470" s="105">
        <v>44593</v>
      </c>
      <c r="V470" s="105">
        <v>44957</v>
      </c>
      <c r="W470" s="90">
        <v>0</v>
      </c>
    </row>
    <row r="471" spans="1:23" s="25" customFormat="1" ht="63.75" customHeight="1">
      <c r="A471" s="88" t="s">
        <v>1526</v>
      </c>
      <c r="B471" s="88">
        <v>80204250585</v>
      </c>
      <c r="C471" s="88" t="s">
        <v>267</v>
      </c>
      <c r="D471" s="88" t="s">
        <v>1879</v>
      </c>
      <c r="E471" s="21" t="s">
        <v>48</v>
      </c>
      <c r="F471" s="80"/>
      <c r="G471" s="80"/>
      <c r="H471" s="80"/>
      <c r="I471" s="80"/>
      <c r="J471" s="88">
        <v>97087620585</v>
      </c>
      <c r="K471" s="80"/>
      <c r="L471" s="88" t="s">
        <v>1527</v>
      </c>
      <c r="M471" s="80"/>
      <c r="N471" s="80"/>
      <c r="O471" s="80"/>
      <c r="P471" s="80"/>
      <c r="Q471" s="88">
        <v>97087620585</v>
      </c>
      <c r="R471" s="80"/>
      <c r="S471" s="88" t="s">
        <v>1528</v>
      </c>
      <c r="T471" s="89">
        <v>1000</v>
      </c>
      <c r="U471" s="105">
        <v>44562</v>
      </c>
      <c r="V471" s="105">
        <v>44742</v>
      </c>
      <c r="W471" s="90">
        <v>0</v>
      </c>
    </row>
    <row r="472" spans="1:23" s="25" customFormat="1" ht="63.75" customHeight="1">
      <c r="A472" s="88" t="s">
        <v>1447</v>
      </c>
      <c r="B472" s="88">
        <v>80204250585</v>
      </c>
      <c r="C472" s="88" t="s">
        <v>267</v>
      </c>
      <c r="D472" s="88" t="s">
        <v>1448</v>
      </c>
      <c r="E472" s="88" t="s">
        <v>51</v>
      </c>
      <c r="F472" s="80"/>
      <c r="G472" s="80"/>
      <c r="H472" s="80"/>
      <c r="I472" s="80"/>
      <c r="J472" s="80"/>
      <c r="K472" s="80"/>
      <c r="L472" s="80"/>
      <c r="M472" s="80"/>
      <c r="N472" s="80"/>
      <c r="O472" s="80"/>
      <c r="P472" s="80"/>
      <c r="Q472" s="88">
        <v>4472901000</v>
      </c>
      <c r="R472" s="80"/>
      <c r="S472" s="88" t="s">
        <v>980</v>
      </c>
      <c r="T472" s="89">
        <v>63866.2</v>
      </c>
      <c r="U472" s="105">
        <v>44531</v>
      </c>
      <c r="V472" s="105">
        <v>45626</v>
      </c>
      <c r="W472" s="89">
        <v>63866.19</v>
      </c>
    </row>
    <row r="473" spans="1:23" s="25" customFormat="1" ht="63.75" customHeight="1">
      <c r="A473" s="88" t="s">
        <v>1435</v>
      </c>
      <c r="B473" s="88">
        <v>80204250585</v>
      </c>
      <c r="C473" s="88" t="s">
        <v>267</v>
      </c>
      <c r="D473" s="88" t="s">
        <v>1436</v>
      </c>
      <c r="E473" s="21" t="s">
        <v>48</v>
      </c>
      <c r="F473" s="80"/>
      <c r="G473" s="80"/>
      <c r="H473" s="80"/>
      <c r="I473" s="80"/>
      <c r="J473" s="80"/>
      <c r="K473" s="80"/>
      <c r="L473" s="80"/>
      <c r="M473" s="80"/>
      <c r="N473" s="80"/>
      <c r="O473" s="80"/>
      <c r="P473" s="80"/>
      <c r="Q473" s="88">
        <v>7945211006</v>
      </c>
      <c r="R473" s="80"/>
      <c r="S473" s="88" t="s">
        <v>476</v>
      </c>
      <c r="T473" s="89">
        <v>15750</v>
      </c>
      <c r="U473" s="105">
        <v>44539</v>
      </c>
      <c r="V473" s="105">
        <v>45634</v>
      </c>
      <c r="W473" s="89">
        <v>3465</v>
      </c>
    </row>
    <row r="474" spans="1:23" ht="114.75" customHeight="1">
      <c r="A474" s="88" t="s">
        <v>1529</v>
      </c>
      <c r="B474" s="88">
        <v>80204250585</v>
      </c>
      <c r="C474" s="88" t="s">
        <v>267</v>
      </c>
      <c r="D474" s="88" t="s">
        <v>1530</v>
      </c>
      <c r="E474" s="21" t="s">
        <v>39</v>
      </c>
      <c r="F474" s="80"/>
      <c r="G474" s="80"/>
      <c r="H474" s="80"/>
      <c r="I474" s="80"/>
      <c r="J474" s="88" t="s">
        <v>1531</v>
      </c>
      <c r="K474" s="80"/>
      <c r="L474" s="88" t="s">
        <v>1532</v>
      </c>
      <c r="M474" s="80"/>
      <c r="N474" s="80"/>
      <c r="O474" s="80"/>
      <c r="P474" s="80"/>
      <c r="Q474" s="80" t="s">
        <v>1531</v>
      </c>
      <c r="R474" s="80"/>
      <c r="S474" s="88" t="s">
        <v>426</v>
      </c>
      <c r="T474" s="89">
        <v>43600</v>
      </c>
      <c r="U474" s="105">
        <v>44562</v>
      </c>
      <c r="V474" s="105">
        <v>44926</v>
      </c>
      <c r="W474" s="90">
        <v>0</v>
      </c>
    </row>
    <row r="475" spans="1:23" ht="45" customHeight="1">
      <c r="A475" s="88" t="s">
        <v>1533</v>
      </c>
      <c r="B475" s="88">
        <v>80204250585</v>
      </c>
      <c r="C475" s="88" t="s">
        <v>267</v>
      </c>
      <c r="D475" s="88" t="s">
        <v>1534</v>
      </c>
      <c r="E475" s="21" t="s">
        <v>39</v>
      </c>
      <c r="F475" s="80"/>
      <c r="G475" s="80"/>
      <c r="H475" s="80"/>
      <c r="I475" s="80"/>
      <c r="J475" s="80"/>
      <c r="K475" s="80"/>
      <c r="L475" s="80"/>
      <c r="M475" s="80"/>
      <c r="N475" s="80"/>
      <c r="O475" s="80"/>
      <c r="P475" s="80"/>
      <c r="Q475" s="88">
        <v>453850588</v>
      </c>
      <c r="R475" s="80"/>
      <c r="S475" s="88" t="s">
        <v>442</v>
      </c>
      <c r="T475" s="89">
        <v>16230</v>
      </c>
      <c r="U475" s="105">
        <v>44562</v>
      </c>
      <c r="V475" s="105">
        <v>44926</v>
      </c>
      <c r="W475" s="90">
        <v>0</v>
      </c>
    </row>
    <row r="476" spans="1:23" ht="45" customHeight="1">
      <c r="A476" s="88" t="s">
        <v>1535</v>
      </c>
      <c r="B476" s="88">
        <v>80204250585</v>
      </c>
      <c r="C476" s="88" t="s">
        <v>267</v>
      </c>
      <c r="D476" s="88" t="s">
        <v>1536</v>
      </c>
      <c r="E476" s="21" t="s">
        <v>39</v>
      </c>
      <c r="F476" s="80"/>
      <c r="G476" s="80"/>
      <c r="H476" s="80"/>
      <c r="I476" s="80"/>
      <c r="J476" s="80"/>
      <c r="K476" s="80"/>
      <c r="L476" s="80"/>
      <c r="M476" s="80"/>
      <c r="N476" s="80"/>
      <c r="O476" s="80"/>
      <c r="P476" s="80"/>
      <c r="Q476" s="88">
        <v>7201450587</v>
      </c>
      <c r="R476" s="80"/>
      <c r="S476" s="88" t="s">
        <v>975</v>
      </c>
      <c r="T476" s="89">
        <v>30000</v>
      </c>
      <c r="U476" s="105">
        <v>44562</v>
      </c>
      <c r="V476" s="105">
        <v>44926</v>
      </c>
      <c r="W476" s="90">
        <v>0</v>
      </c>
    </row>
    <row r="477" spans="1:23" ht="45" customHeight="1">
      <c r="A477" s="88" t="s">
        <v>1537</v>
      </c>
      <c r="B477" s="88">
        <v>80204250585</v>
      </c>
      <c r="C477" s="88" t="s">
        <v>267</v>
      </c>
      <c r="D477" s="88" t="s">
        <v>1538</v>
      </c>
      <c r="E477" s="21" t="s">
        <v>39</v>
      </c>
      <c r="F477" s="80"/>
      <c r="G477" s="80"/>
      <c r="H477" s="80"/>
      <c r="I477" s="80"/>
      <c r="J477" s="80"/>
      <c r="K477" s="80"/>
      <c r="L477" s="80"/>
      <c r="M477" s="80"/>
      <c r="N477" s="80"/>
      <c r="O477" s="80"/>
      <c r="P477" s="80"/>
      <c r="Q477" s="88">
        <v>391130580</v>
      </c>
      <c r="R477" s="80"/>
      <c r="S477" s="88" t="s">
        <v>443</v>
      </c>
      <c r="T477" s="89">
        <v>35870.43</v>
      </c>
      <c r="U477" s="105">
        <v>44562</v>
      </c>
      <c r="V477" s="105">
        <v>44926</v>
      </c>
      <c r="W477" s="90">
        <v>0</v>
      </c>
    </row>
    <row r="478" spans="1:23" ht="45" customHeight="1">
      <c r="A478" s="88" t="s">
        <v>1537</v>
      </c>
      <c r="B478" s="88">
        <v>80204250585</v>
      </c>
      <c r="C478" s="88" t="s">
        <v>267</v>
      </c>
      <c r="D478" s="88" t="s">
        <v>1539</v>
      </c>
      <c r="E478" s="21" t="s">
        <v>39</v>
      </c>
      <c r="F478" s="80"/>
      <c r="G478" s="80"/>
      <c r="H478" s="80"/>
      <c r="I478" s="80"/>
      <c r="J478" s="80"/>
      <c r="K478" s="80"/>
      <c r="L478" s="80"/>
      <c r="M478" s="80"/>
      <c r="N478" s="80"/>
      <c r="O478" s="80"/>
      <c r="P478" s="80"/>
      <c r="Q478" s="88">
        <v>391130580</v>
      </c>
      <c r="R478" s="80"/>
      <c r="S478" s="88" t="s">
        <v>443</v>
      </c>
      <c r="T478" s="90">
        <v>759</v>
      </c>
      <c r="U478" s="105">
        <v>44562</v>
      </c>
      <c r="V478" s="105">
        <v>44926</v>
      </c>
      <c r="W478" s="90">
        <v>0</v>
      </c>
    </row>
    <row r="479" spans="1:23" ht="45" customHeight="1">
      <c r="A479" s="88" t="s">
        <v>1540</v>
      </c>
      <c r="B479" s="88">
        <v>80204250585</v>
      </c>
      <c r="C479" s="88" t="s">
        <v>267</v>
      </c>
      <c r="D479" s="88" t="s">
        <v>1541</v>
      </c>
      <c r="E479" s="21" t="s">
        <v>39</v>
      </c>
      <c r="F479" s="80"/>
      <c r="G479" s="80"/>
      <c r="H479" s="80"/>
      <c r="I479" s="80"/>
      <c r="J479" s="80"/>
      <c r="K479" s="80"/>
      <c r="L479" s="80"/>
      <c r="M479" s="80"/>
      <c r="N479" s="80"/>
      <c r="O479" s="80"/>
      <c r="P479" s="80"/>
      <c r="Q479" s="88">
        <v>777910159</v>
      </c>
      <c r="R479" s="80"/>
      <c r="S479" s="88" t="s">
        <v>444</v>
      </c>
      <c r="T479" s="89">
        <v>65000</v>
      </c>
      <c r="U479" s="105">
        <v>44562</v>
      </c>
      <c r="V479" s="105">
        <v>44926</v>
      </c>
      <c r="W479" s="90">
        <v>0</v>
      </c>
    </row>
    <row r="480" spans="1:23" s="25" customFormat="1" ht="90" customHeight="1">
      <c r="A480" s="88" t="s">
        <v>1542</v>
      </c>
      <c r="B480" s="88">
        <v>80204250585</v>
      </c>
      <c r="C480" s="88" t="s">
        <v>267</v>
      </c>
      <c r="D480" s="22" t="s">
        <v>1270</v>
      </c>
      <c r="E480" s="21" t="s">
        <v>58</v>
      </c>
      <c r="F480" s="29"/>
      <c r="G480" s="29"/>
      <c r="H480" s="29"/>
      <c r="I480" s="29"/>
      <c r="J480" s="37" t="s">
        <v>1386</v>
      </c>
      <c r="K480" s="29" t="s">
        <v>1385</v>
      </c>
      <c r="L480" s="80"/>
      <c r="M480" s="80"/>
      <c r="N480" s="80"/>
      <c r="O480" s="80"/>
      <c r="P480" s="80"/>
      <c r="Q480" s="88">
        <v>1442240030</v>
      </c>
      <c r="R480" s="80"/>
      <c r="S480" s="88" t="s">
        <v>1543</v>
      </c>
      <c r="T480" s="89">
        <v>179999.4</v>
      </c>
      <c r="U480" s="105">
        <v>44571</v>
      </c>
      <c r="V480" s="105">
        <v>44752</v>
      </c>
      <c r="W480" s="90">
        <v>0</v>
      </c>
    </row>
    <row r="481" spans="1:23" ht="51" customHeight="1">
      <c r="A481" s="88" t="s">
        <v>1544</v>
      </c>
      <c r="B481" s="88">
        <v>80204250585</v>
      </c>
      <c r="C481" s="88" t="s">
        <v>267</v>
      </c>
      <c r="D481" s="88" t="s">
        <v>1545</v>
      </c>
      <c r="E481" s="21" t="s">
        <v>39</v>
      </c>
      <c r="F481" s="80"/>
      <c r="G481" s="80"/>
      <c r="H481" s="80"/>
      <c r="I481" s="80"/>
      <c r="J481" s="88">
        <v>3771690967</v>
      </c>
      <c r="K481" s="80"/>
      <c r="L481" s="88" t="s">
        <v>1546</v>
      </c>
      <c r="M481" s="80"/>
      <c r="N481" s="80"/>
      <c r="O481" s="80"/>
      <c r="P481" s="80"/>
      <c r="Q481" s="88">
        <v>3771690967</v>
      </c>
      <c r="R481" s="80"/>
      <c r="S481" s="88" t="s">
        <v>760</v>
      </c>
      <c r="T481" s="89">
        <v>284529.84000000003</v>
      </c>
      <c r="U481" s="105">
        <v>44562</v>
      </c>
      <c r="V481" s="105">
        <v>44926</v>
      </c>
      <c r="W481" s="90">
        <v>0</v>
      </c>
    </row>
    <row r="482" spans="1:23" ht="114.75" customHeight="1">
      <c r="A482" s="88" t="s">
        <v>1547</v>
      </c>
      <c r="B482" s="88">
        <v>80204250585</v>
      </c>
      <c r="C482" s="88" t="s">
        <v>267</v>
      </c>
      <c r="D482" s="88" t="s">
        <v>1548</v>
      </c>
      <c r="E482" s="21" t="s">
        <v>48</v>
      </c>
      <c r="F482" s="80"/>
      <c r="G482" s="80"/>
      <c r="H482" s="80"/>
      <c r="I482" s="80"/>
      <c r="J482" s="88">
        <v>3771690967</v>
      </c>
      <c r="K482" s="80"/>
      <c r="L482" s="88" t="s">
        <v>1546</v>
      </c>
      <c r="M482" s="80"/>
      <c r="N482" s="80"/>
      <c r="O482" s="80"/>
      <c r="P482" s="80"/>
      <c r="Q482" s="88">
        <v>3771690967</v>
      </c>
      <c r="R482" s="80"/>
      <c r="S482" s="88" t="s">
        <v>760</v>
      </c>
      <c r="T482" s="89">
        <v>38400</v>
      </c>
      <c r="U482" s="105">
        <v>44562</v>
      </c>
      <c r="V482" s="105">
        <v>44926</v>
      </c>
      <c r="W482" s="90">
        <v>0</v>
      </c>
    </row>
    <row r="483" spans="1:23" ht="63.75" customHeight="1">
      <c r="A483" s="88" t="s">
        <v>1549</v>
      </c>
      <c r="B483" s="88">
        <v>80204250585</v>
      </c>
      <c r="C483" s="88" t="s">
        <v>267</v>
      </c>
      <c r="D483" s="88" t="s">
        <v>1550</v>
      </c>
      <c r="E483" s="21" t="s">
        <v>48</v>
      </c>
      <c r="F483" s="80"/>
      <c r="G483" s="80"/>
      <c r="H483" s="80"/>
      <c r="I483" s="80"/>
      <c r="J483" s="80" t="s">
        <v>1587</v>
      </c>
      <c r="K483" s="80"/>
      <c r="L483" s="88" t="s">
        <v>1551</v>
      </c>
      <c r="M483" s="80"/>
      <c r="N483" s="80"/>
      <c r="O483" s="80"/>
      <c r="P483" s="80"/>
      <c r="Q483" s="80" t="s">
        <v>1587</v>
      </c>
      <c r="R483" s="80"/>
      <c r="S483" s="88" t="s">
        <v>1551</v>
      </c>
      <c r="T483" s="89">
        <v>39500</v>
      </c>
      <c r="U483" s="105">
        <v>44571</v>
      </c>
      <c r="V483" s="105">
        <v>44630</v>
      </c>
      <c r="W483" s="90">
        <v>0</v>
      </c>
    </row>
    <row r="484" spans="1:23" ht="89.25" customHeight="1">
      <c r="A484" s="88" t="s">
        <v>1552</v>
      </c>
      <c r="B484" s="88">
        <v>80204250585</v>
      </c>
      <c r="C484" s="88" t="s">
        <v>267</v>
      </c>
      <c r="D484" s="88" t="s">
        <v>1553</v>
      </c>
      <c r="E484" s="88" t="s">
        <v>51</v>
      </c>
      <c r="F484" s="80"/>
      <c r="G484" s="80"/>
      <c r="H484" s="80"/>
      <c r="I484" s="80"/>
      <c r="J484" s="80"/>
      <c r="K484" s="80"/>
      <c r="L484" s="80"/>
      <c r="M484" s="88" t="s">
        <v>1554</v>
      </c>
      <c r="N484" s="80"/>
      <c r="O484" s="88" t="s">
        <v>1555</v>
      </c>
      <c r="P484" s="88" t="s">
        <v>108</v>
      </c>
      <c r="Q484" s="80"/>
      <c r="R484" s="80"/>
      <c r="S484" s="88" t="s">
        <v>1556</v>
      </c>
      <c r="T484" s="89">
        <v>63900</v>
      </c>
      <c r="U484" s="105">
        <v>44578</v>
      </c>
      <c r="V484" s="105">
        <v>44650</v>
      </c>
      <c r="W484" s="90">
        <v>0</v>
      </c>
    </row>
    <row r="485" spans="1:23" s="25" customFormat="1" ht="63.75" customHeight="1">
      <c r="A485" s="88" t="s">
        <v>1557</v>
      </c>
      <c r="B485" s="88">
        <v>80204250585</v>
      </c>
      <c r="C485" s="88" t="s">
        <v>267</v>
      </c>
      <c r="D485" s="88" t="s">
        <v>1558</v>
      </c>
      <c r="E485" s="21" t="s">
        <v>58</v>
      </c>
      <c r="F485" s="80"/>
      <c r="G485" s="80"/>
      <c r="H485" s="80"/>
      <c r="I485" s="80"/>
      <c r="J485" s="88">
        <v>10420010968</v>
      </c>
      <c r="K485" s="80"/>
      <c r="L485" s="88" t="s">
        <v>1559</v>
      </c>
      <c r="M485" s="80"/>
      <c r="N485" s="80"/>
      <c r="O485" s="80"/>
      <c r="P485" s="80"/>
      <c r="Q485" s="80"/>
      <c r="R485" s="80"/>
      <c r="S485" s="88" t="s">
        <v>1560</v>
      </c>
      <c r="T485" s="89">
        <v>153807</v>
      </c>
      <c r="U485" s="105">
        <v>44562</v>
      </c>
      <c r="V485" s="105">
        <v>44926</v>
      </c>
      <c r="W485" s="90">
        <v>0</v>
      </c>
    </row>
    <row r="486" spans="1:23" s="25" customFormat="1" ht="63.75" customHeight="1">
      <c r="A486" s="88" t="s">
        <v>1561</v>
      </c>
      <c r="B486" s="88">
        <v>80204250585</v>
      </c>
      <c r="C486" s="21" t="s">
        <v>83</v>
      </c>
      <c r="D486" s="88" t="s">
        <v>1562</v>
      </c>
      <c r="E486" s="75" t="s">
        <v>48</v>
      </c>
      <c r="F486" s="80"/>
      <c r="G486" s="80"/>
      <c r="H486" s="80"/>
      <c r="I486" s="88"/>
      <c r="J486" s="88" t="s">
        <v>1563</v>
      </c>
      <c r="K486" s="80"/>
      <c r="L486" s="88" t="s">
        <v>1564</v>
      </c>
      <c r="M486" s="80"/>
      <c r="N486" s="80"/>
      <c r="O486" s="80"/>
      <c r="P486" s="80"/>
      <c r="Q486" s="24" t="s">
        <v>190</v>
      </c>
      <c r="R486" s="80"/>
      <c r="S486" s="88" t="s">
        <v>785</v>
      </c>
      <c r="T486" s="89">
        <v>39900</v>
      </c>
      <c r="U486" s="105">
        <v>44593</v>
      </c>
      <c r="V486" s="105">
        <v>44957</v>
      </c>
      <c r="W486" s="90">
        <v>0</v>
      </c>
    </row>
    <row r="487" spans="1:23" s="73" customFormat="1" ht="45" customHeight="1">
      <c r="A487" s="29" t="s">
        <v>1571</v>
      </c>
      <c r="B487" s="88">
        <v>80204250585</v>
      </c>
      <c r="C487" s="88" t="s">
        <v>267</v>
      </c>
      <c r="D487" s="88" t="s">
        <v>1572</v>
      </c>
      <c r="E487" s="21" t="s">
        <v>39</v>
      </c>
      <c r="F487" s="29"/>
      <c r="G487" s="29"/>
      <c r="H487" s="29"/>
      <c r="I487" s="29"/>
      <c r="J487" s="24" t="s">
        <v>261</v>
      </c>
      <c r="K487" s="29"/>
      <c r="L487" s="22" t="s">
        <v>262</v>
      </c>
      <c r="M487" s="29"/>
      <c r="N487" s="29"/>
      <c r="O487" s="29"/>
      <c r="P487" s="29"/>
      <c r="Q487" s="24" t="s">
        <v>261</v>
      </c>
      <c r="R487" s="29"/>
      <c r="S487" s="25" t="s">
        <v>262</v>
      </c>
      <c r="T487" s="26">
        <v>128240</v>
      </c>
      <c r="U487" s="100">
        <v>44549</v>
      </c>
      <c r="V487" s="100">
        <v>46009</v>
      </c>
      <c r="W487" s="28">
        <v>0</v>
      </c>
    </row>
    <row r="488" spans="1:23" s="72" customFormat="1" ht="45" customHeight="1">
      <c r="A488" s="43" t="s">
        <v>1467</v>
      </c>
      <c r="B488" s="115">
        <v>80204250585</v>
      </c>
      <c r="C488" s="115" t="s">
        <v>267</v>
      </c>
      <c r="D488" s="88" t="s">
        <v>1573</v>
      </c>
      <c r="E488" s="21" t="s">
        <v>39</v>
      </c>
      <c r="F488" s="29"/>
      <c r="G488" s="29"/>
      <c r="H488" s="29"/>
      <c r="I488" s="29"/>
      <c r="J488" s="24"/>
      <c r="K488" s="29"/>
      <c r="L488" s="29"/>
      <c r="M488" s="29"/>
      <c r="N488" s="29"/>
      <c r="O488" s="29"/>
      <c r="P488" s="29"/>
      <c r="Q488" s="24"/>
      <c r="R488" s="29"/>
      <c r="S488" s="29" t="s">
        <v>760</v>
      </c>
      <c r="T488" s="26">
        <v>35400</v>
      </c>
      <c r="U488" s="104">
        <v>44562</v>
      </c>
      <c r="V488" s="104">
        <v>44926</v>
      </c>
      <c r="W488" s="28">
        <v>0</v>
      </c>
    </row>
    <row r="489" spans="1:23" s="72" customFormat="1" ht="45" customHeight="1">
      <c r="A489" s="43" t="s">
        <v>1466</v>
      </c>
      <c r="B489" s="115">
        <v>80204250585</v>
      </c>
      <c r="C489" s="115" t="s">
        <v>267</v>
      </c>
      <c r="D489" s="88" t="s">
        <v>1574</v>
      </c>
      <c r="E489" s="21" t="s">
        <v>39</v>
      </c>
      <c r="F489" s="29"/>
      <c r="G489" s="29"/>
      <c r="H489" s="29"/>
      <c r="I489" s="29"/>
      <c r="J489" s="24"/>
      <c r="K489" s="29"/>
      <c r="L489" s="29"/>
      <c r="M489" s="29"/>
      <c r="N489" s="29"/>
      <c r="O489" s="29"/>
      <c r="P489" s="29"/>
      <c r="Q489" s="24"/>
      <c r="R489" s="29"/>
      <c r="S489" s="29" t="s">
        <v>1575</v>
      </c>
      <c r="T489" s="26">
        <v>18000</v>
      </c>
      <c r="U489" s="104">
        <v>44562</v>
      </c>
      <c r="V489" s="104">
        <v>44926</v>
      </c>
      <c r="W489" s="28">
        <v>0</v>
      </c>
    </row>
    <row r="490" spans="1:23" ht="38.25" customHeight="1">
      <c r="A490" s="43" t="s">
        <v>1577</v>
      </c>
      <c r="B490" s="115">
        <v>80204250585</v>
      </c>
      <c r="C490" s="115" t="s">
        <v>267</v>
      </c>
      <c r="D490" s="88" t="s">
        <v>1578</v>
      </c>
      <c r="E490" s="21" t="s">
        <v>48</v>
      </c>
      <c r="F490" s="29"/>
      <c r="G490" s="29"/>
      <c r="H490" s="29"/>
      <c r="I490" s="29"/>
      <c r="J490" s="24"/>
      <c r="K490" s="29"/>
      <c r="L490" s="29"/>
      <c r="M490" s="29"/>
      <c r="N490" s="29"/>
      <c r="O490" s="29"/>
      <c r="P490" s="29"/>
      <c r="Q490" s="24" t="s">
        <v>378</v>
      </c>
      <c r="R490" s="29"/>
      <c r="S490" s="22" t="s">
        <v>379</v>
      </c>
      <c r="T490" s="26">
        <v>720</v>
      </c>
      <c r="U490" s="104">
        <v>44501</v>
      </c>
      <c r="V490" s="104">
        <v>44530</v>
      </c>
      <c r="W490" s="28">
        <v>720</v>
      </c>
    </row>
    <row r="491" spans="1:23" s="25" customFormat="1" ht="90" customHeight="1">
      <c r="A491" s="43" t="s">
        <v>1470</v>
      </c>
      <c r="B491" s="115">
        <v>80204250585</v>
      </c>
      <c r="C491" s="115" t="s">
        <v>267</v>
      </c>
      <c r="D491" s="21" t="s">
        <v>1583</v>
      </c>
      <c r="E491" s="21" t="s">
        <v>58</v>
      </c>
      <c r="F491" s="133"/>
      <c r="G491" s="133"/>
      <c r="H491" s="133"/>
      <c r="I491" s="133"/>
      <c r="J491" s="134"/>
      <c r="K491" s="133"/>
      <c r="L491" s="133"/>
      <c r="M491" s="133"/>
      <c r="N491" s="133"/>
      <c r="O491" s="133"/>
      <c r="P491" s="133"/>
      <c r="Q491" s="134"/>
      <c r="R491" s="133"/>
      <c r="S491" s="133"/>
      <c r="T491" s="124">
        <v>0</v>
      </c>
      <c r="U491" s="135"/>
      <c r="V491" s="135"/>
      <c r="W491" s="123">
        <v>0</v>
      </c>
    </row>
    <row r="492" spans="1:23" s="25" customFormat="1" ht="90" customHeight="1">
      <c r="A492" s="43" t="s">
        <v>1582</v>
      </c>
      <c r="B492" s="115">
        <v>80204250585</v>
      </c>
      <c r="C492" s="115" t="s">
        <v>267</v>
      </c>
      <c r="D492" s="21" t="s">
        <v>1584</v>
      </c>
      <c r="E492" s="21" t="s">
        <v>58</v>
      </c>
      <c r="F492" s="133"/>
      <c r="G492" s="133"/>
      <c r="H492" s="133"/>
      <c r="I492" s="133"/>
      <c r="J492" s="134"/>
      <c r="K492" s="133"/>
      <c r="L492" s="133"/>
      <c r="M492" s="133"/>
      <c r="N492" s="133"/>
      <c r="O492" s="133"/>
      <c r="P492" s="133"/>
      <c r="Q492" s="134"/>
      <c r="R492" s="133"/>
      <c r="S492" s="133"/>
      <c r="T492" s="124">
        <v>0</v>
      </c>
      <c r="U492" s="135"/>
      <c r="V492" s="135"/>
      <c r="W492" s="123">
        <v>0</v>
      </c>
    </row>
    <row r="493" spans="1:23" ht="45" customHeight="1">
      <c r="A493" s="25" t="s">
        <v>1599</v>
      </c>
      <c r="B493" s="29" t="s">
        <v>88</v>
      </c>
      <c r="C493" s="21" t="s">
        <v>83</v>
      </c>
      <c r="D493" s="22" t="s">
        <v>1600</v>
      </c>
      <c r="E493" s="75" t="s">
        <v>48</v>
      </c>
      <c r="F493" s="25"/>
      <c r="G493" s="25"/>
      <c r="H493" s="25"/>
      <c r="I493" s="25"/>
      <c r="J493" s="24" t="s">
        <v>156</v>
      </c>
      <c r="K493" s="25"/>
      <c r="L493" s="81" t="s">
        <v>1601</v>
      </c>
      <c r="M493" s="25"/>
      <c r="N493" s="25"/>
      <c r="O493" s="25"/>
      <c r="P493" s="25"/>
      <c r="Q493" s="24" t="s">
        <v>156</v>
      </c>
      <c r="R493" s="25"/>
      <c r="S493" s="81" t="s">
        <v>1601</v>
      </c>
      <c r="T493" s="28">
        <v>8000</v>
      </c>
      <c r="U493" s="100">
        <v>44562</v>
      </c>
      <c r="V493" s="100">
        <v>44742</v>
      </c>
      <c r="W493" s="123">
        <v>0</v>
      </c>
    </row>
    <row r="494" spans="1:23" ht="75" customHeight="1">
      <c r="A494" s="30">
        <v>9046036110</v>
      </c>
      <c r="B494" s="29" t="s">
        <v>88</v>
      </c>
      <c r="C494" s="21" t="s">
        <v>83</v>
      </c>
      <c r="D494" s="22" t="s">
        <v>1602</v>
      </c>
      <c r="E494" s="75" t="s">
        <v>48</v>
      </c>
      <c r="F494" s="25"/>
      <c r="G494" s="25"/>
      <c r="H494" s="25"/>
      <c r="I494" s="25"/>
      <c r="J494" s="36" t="s">
        <v>933</v>
      </c>
      <c r="K494" s="66"/>
      <c r="L494" s="22" t="s">
        <v>934</v>
      </c>
      <c r="M494" s="25"/>
      <c r="N494" s="25"/>
      <c r="O494" s="25"/>
      <c r="P494" s="25"/>
      <c r="Q494" s="36" t="s">
        <v>933</v>
      </c>
      <c r="R494" s="66"/>
      <c r="S494" s="22" t="s">
        <v>934</v>
      </c>
      <c r="T494" s="28">
        <v>40000</v>
      </c>
      <c r="U494" s="100">
        <v>44593</v>
      </c>
      <c r="V494" s="100">
        <v>44957</v>
      </c>
      <c r="W494" s="123">
        <v>0</v>
      </c>
    </row>
    <row r="495" spans="1:23" ht="150" customHeight="1">
      <c r="A495" s="25" t="s">
        <v>1603</v>
      </c>
      <c r="B495" s="29" t="s">
        <v>88</v>
      </c>
      <c r="C495" s="21" t="s">
        <v>83</v>
      </c>
      <c r="D495" s="22" t="s">
        <v>1604</v>
      </c>
      <c r="E495" s="21" t="s">
        <v>48</v>
      </c>
      <c r="F495" s="25"/>
      <c r="G495" s="25"/>
      <c r="H495" s="25"/>
      <c r="I495" s="25"/>
      <c r="J495" s="76" t="s">
        <v>1605</v>
      </c>
      <c r="K495" s="25"/>
      <c r="L495" s="81" t="s">
        <v>1606</v>
      </c>
      <c r="M495" s="25"/>
      <c r="N495" s="25"/>
      <c r="O495" s="25"/>
      <c r="P495" s="25"/>
      <c r="Q495" s="40"/>
      <c r="R495" s="25"/>
      <c r="S495" s="25"/>
      <c r="T495" s="124">
        <v>0</v>
      </c>
      <c r="U495" s="100"/>
      <c r="V495" s="100"/>
      <c r="W495" s="123">
        <v>0</v>
      </c>
    </row>
    <row r="496" spans="1:23" ht="60" customHeight="1">
      <c r="A496" s="64" t="s">
        <v>1607</v>
      </c>
      <c r="B496" s="29" t="s">
        <v>88</v>
      </c>
      <c r="C496" s="21" t="s">
        <v>83</v>
      </c>
      <c r="D496" s="21" t="s">
        <v>1608</v>
      </c>
      <c r="E496" s="21" t="s">
        <v>51</v>
      </c>
      <c r="F496" s="64"/>
      <c r="G496" s="64"/>
      <c r="H496" s="64"/>
      <c r="I496" s="64"/>
      <c r="J496" s="24"/>
      <c r="K496" s="64"/>
      <c r="L496" s="64"/>
      <c r="M496" s="64"/>
      <c r="N496" s="64"/>
      <c r="O496" s="64"/>
      <c r="P496" s="64"/>
      <c r="Q496" s="24" t="s">
        <v>328</v>
      </c>
      <c r="R496" s="64"/>
      <c r="S496" s="29" t="s">
        <v>1609</v>
      </c>
      <c r="T496" s="28">
        <v>5114.75</v>
      </c>
      <c r="U496" s="100">
        <v>44562</v>
      </c>
      <c r="V496" s="100">
        <v>45626</v>
      </c>
      <c r="W496" s="123">
        <v>0</v>
      </c>
    </row>
    <row r="497" spans="1:23" s="25" customFormat="1" ht="75" customHeight="1">
      <c r="A497" s="25" t="s">
        <v>1610</v>
      </c>
      <c r="B497" s="29" t="s">
        <v>88</v>
      </c>
      <c r="C497" s="21" t="s">
        <v>83</v>
      </c>
      <c r="D497" s="21" t="s">
        <v>1611</v>
      </c>
      <c r="E497" s="21" t="s">
        <v>48</v>
      </c>
      <c r="J497" s="24" t="s">
        <v>1612</v>
      </c>
      <c r="L497" s="25" t="s">
        <v>1613</v>
      </c>
      <c r="Q497" s="24" t="s">
        <v>1612</v>
      </c>
      <c r="S497" s="25" t="s">
        <v>1613</v>
      </c>
      <c r="T497" s="28">
        <v>13791.65</v>
      </c>
      <c r="U497" s="100">
        <v>44525</v>
      </c>
      <c r="V497" s="100">
        <v>44889</v>
      </c>
      <c r="W497" s="28">
        <v>13791.65</v>
      </c>
    </row>
    <row r="498" spans="1:23" ht="90" customHeight="1">
      <c r="A498" s="66" t="s">
        <v>1614</v>
      </c>
      <c r="B498" s="64" t="s">
        <v>88</v>
      </c>
      <c r="C498" s="21" t="s">
        <v>83</v>
      </c>
      <c r="D498" s="22" t="s">
        <v>1615</v>
      </c>
      <c r="E498" s="21" t="s">
        <v>51</v>
      </c>
      <c r="F498" s="22" t="s">
        <v>1616</v>
      </c>
      <c r="G498" s="66"/>
      <c r="H498" s="66" t="s">
        <v>1617</v>
      </c>
      <c r="I498" s="64" t="s">
        <v>1382</v>
      </c>
      <c r="J498" s="23"/>
      <c r="K498" s="66"/>
      <c r="L498" s="22"/>
      <c r="M498" s="22" t="s">
        <v>1616</v>
      </c>
      <c r="N498" s="64"/>
      <c r="O498" s="22" t="s">
        <v>1617</v>
      </c>
      <c r="P498" s="22" t="s">
        <v>1382</v>
      </c>
      <c r="Q498" s="24"/>
      <c r="R498" s="71"/>
      <c r="S498" s="30"/>
      <c r="T498" s="28">
        <v>3096408.43</v>
      </c>
      <c r="U498" s="100">
        <v>41806</v>
      </c>
      <c r="V498" s="100">
        <v>44377</v>
      </c>
      <c r="W498" s="95">
        <v>3112234.5</v>
      </c>
    </row>
    <row r="499" spans="1:23" ht="120" customHeight="1">
      <c r="A499" s="31">
        <v>0</v>
      </c>
      <c r="B499" s="64" t="s">
        <v>88</v>
      </c>
      <c r="C499" s="21" t="s">
        <v>83</v>
      </c>
      <c r="D499" s="21" t="s">
        <v>1618</v>
      </c>
      <c r="E499" s="21" t="s">
        <v>39</v>
      </c>
      <c r="F499" s="21"/>
      <c r="G499" s="66"/>
      <c r="H499" s="64"/>
      <c r="I499" s="64"/>
      <c r="J499" s="23"/>
      <c r="K499" s="64"/>
      <c r="L499" s="21"/>
      <c r="M499" s="64"/>
      <c r="N499" s="66"/>
      <c r="O499" s="64"/>
      <c r="P499" s="64"/>
      <c r="Q499" s="24" t="s">
        <v>1619</v>
      </c>
      <c r="R499" s="64"/>
      <c r="S499" s="43" t="s">
        <v>1620</v>
      </c>
      <c r="T499" s="28">
        <v>2554740</v>
      </c>
      <c r="U499" s="100">
        <v>42552</v>
      </c>
      <c r="V499" s="100">
        <v>46934</v>
      </c>
      <c r="W499" s="95">
        <v>1248479.57</v>
      </c>
    </row>
    <row r="500" spans="1:23" ht="120" customHeight="1">
      <c r="A500" s="66" t="s">
        <v>1621</v>
      </c>
      <c r="B500" s="66" t="s">
        <v>88</v>
      </c>
      <c r="C500" s="22" t="s">
        <v>83</v>
      </c>
      <c r="D500" s="22" t="s">
        <v>1622</v>
      </c>
      <c r="E500" s="21" t="s">
        <v>48</v>
      </c>
      <c r="F500" s="22"/>
      <c r="G500" s="66"/>
      <c r="H500" s="66"/>
      <c r="I500" s="64"/>
      <c r="J500" s="23" t="s">
        <v>1623</v>
      </c>
      <c r="K500" s="66"/>
      <c r="L500" s="22" t="s">
        <v>1624</v>
      </c>
      <c r="M500" s="66"/>
      <c r="N500" s="64"/>
      <c r="O500" s="66"/>
      <c r="P500" s="66"/>
      <c r="Q500" s="24" t="s">
        <v>1623</v>
      </c>
      <c r="R500" s="71"/>
      <c r="S500" s="30" t="s">
        <v>1624</v>
      </c>
      <c r="T500" s="28">
        <v>1450</v>
      </c>
      <c r="U500" s="100">
        <v>43080</v>
      </c>
      <c r="V500" s="100">
        <v>43083</v>
      </c>
      <c r="W500" s="95">
        <v>0</v>
      </c>
    </row>
    <row r="501" spans="1:23" ht="90" customHeight="1">
      <c r="A501" s="66" t="s">
        <v>1625</v>
      </c>
      <c r="B501" s="66" t="s">
        <v>88</v>
      </c>
      <c r="C501" s="22" t="s">
        <v>83</v>
      </c>
      <c r="D501" s="22" t="s">
        <v>1626</v>
      </c>
      <c r="E501" s="22" t="s">
        <v>51</v>
      </c>
      <c r="F501" s="22"/>
      <c r="G501" s="66"/>
      <c r="H501" s="66"/>
      <c r="I501" s="64"/>
      <c r="J501" s="23" t="s">
        <v>1627</v>
      </c>
      <c r="K501" s="66"/>
      <c r="L501" s="22" t="s">
        <v>1628</v>
      </c>
      <c r="M501" s="66"/>
      <c r="N501" s="64"/>
      <c r="O501" s="66"/>
      <c r="P501" s="66"/>
      <c r="Q501" s="24" t="s">
        <v>1627</v>
      </c>
      <c r="R501" s="71"/>
      <c r="S501" s="30" t="s">
        <v>1628</v>
      </c>
      <c r="T501" s="28">
        <v>10543.8</v>
      </c>
      <c r="U501" s="100">
        <v>43132</v>
      </c>
      <c r="V501" s="100">
        <v>44957</v>
      </c>
      <c r="W501" s="95">
        <v>7907.82</v>
      </c>
    </row>
    <row r="502" spans="1:23" ht="90" customHeight="1">
      <c r="A502" s="96" t="s">
        <v>1629</v>
      </c>
      <c r="B502" s="64" t="s">
        <v>88</v>
      </c>
      <c r="C502" s="21" t="s">
        <v>83</v>
      </c>
      <c r="D502" s="21" t="s">
        <v>1630</v>
      </c>
      <c r="E502" s="21" t="s">
        <v>48</v>
      </c>
      <c r="F502" s="21"/>
      <c r="G502" s="66"/>
      <c r="H502" s="64"/>
      <c r="I502" s="64"/>
      <c r="J502" s="23" t="s">
        <v>1631</v>
      </c>
      <c r="K502" s="64"/>
      <c r="L502" s="21" t="s">
        <v>1632</v>
      </c>
      <c r="M502" s="64"/>
      <c r="N502" s="66"/>
      <c r="O502" s="64"/>
      <c r="P502" s="64"/>
      <c r="Q502" s="24" t="s">
        <v>1633</v>
      </c>
      <c r="R502" s="64"/>
      <c r="S502" s="43" t="s">
        <v>1634</v>
      </c>
      <c r="T502" s="28">
        <v>21475.09</v>
      </c>
      <c r="U502" s="100">
        <v>43160</v>
      </c>
      <c r="V502" s="100">
        <v>44255</v>
      </c>
      <c r="W502" s="95">
        <v>21475.09</v>
      </c>
    </row>
    <row r="503" spans="1:23" ht="105" customHeight="1">
      <c r="A503" s="66" t="s">
        <v>1635</v>
      </c>
      <c r="B503" s="66" t="s">
        <v>88</v>
      </c>
      <c r="C503" s="22" t="s">
        <v>83</v>
      </c>
      <c r="D503" s="22" t="s">
        <v>1636</v>
      </c>
      <c r="E503" s="22" t="s">
        <v>51</v>
      </c>
      <c r="F503" s="22"/>
      <c r="G503" s="66"/>
      <c r="H503" s="66"/>
      <c r="I503" s="64"/>
      <c r="J503" s="23" t="s">
        <v>1398</v>
      </c>
      <c r="K503" s="66"/>
      <c r="L503" s="22" t="s">
        <v>1637</v>
      </c>
      <c r="M503" s="66"/>
      <c r="N503" s="64"/>
      <c r="O503" s="66"/>
      <c r="P503" s="66"/>
      <c r="Q503" s="24" t="s">
        <v>1398</v>
      </c>
      <c r="R503" s="71"/>
      <c r="S503" s="30" t="s">
        <v>1637</v>
      </c>
      <c r="T503" s="28">
        <v>652120</v>
      </c>
      <c r="U503" s="100">
        <v>43143</v>
      </c>
      <c r="V503" s="100">
        <v>44238</v>
      </c>
      <c r="W503" s="95">
        <v>565505.24</v>
      </c>
    </row>
    <row r="504" spans="1:23" ht="75" customHeight="1">
      <c r="A504" s="66" t="s">
        <v>1638</v>
      </c>
      <c r="B504" s="66" t="s">
        <v>88</v>
      </c>
      <c r="C504" s="22" t="s">
        <v>83</v>
      </c>
      <c r="D504" s="22" t="s">
        <v>1639</v>
      </c>
      <c r="E504" s="22" t="s">
        <v>51</v>
      </c>
      <c r="F504" s="22"/>
      <c r="G504" s="66"/>
      <c r="H504" s="66"/>
      <c r="I504" s="64"/>
      <c r="J504" s="23" t="s">
        <v>1640</v>
      </c>
      <c r="K504" s="66"/>
      <c r="L504" s="22" t="s">
        <v>1641</v>
      </c>
      <c r="M504" s="66"/>
      <c r="N504" s="64"/>
      <c r="O504" s="66"/>
      <c r="P504" s="66"/>
      <c r="Q504" s="24" t="s">
        <v>1640</v>
      </c>
      <c r="R504" s="66"/>
      <c r="S504" s="30" t="s">
        <v>1641</v>
      </c>
      <c r="T504" s="28">
        <v>1926.23</v>
      </c>
      <c r="U504" s="100">
        <v>43559</v>
      </c>
      <c r="V504" s="100">
        <v>44585</v>
      </c>
      <c r="W504" s="95">
        <v>485.81</v>
      </c>
    </row>
    <row r="505" spans="1:23" ht="75" customHeight="1">
      <c r="A505" s="30" t="s">
        <v>1642</v>
      </c>
      <c r="B505" s="66" t="s">
        <v>88</v>
      </c>
      <c r="C505" s="22" t="s">
        <v>83</v>
      </c>
      <c r="D505" s="22" t="s">
        <v>1643</v>
      </c>
      <c r="E505" s="21" t="s">
        <v>48</v>
      </c>
      <c r="F505" s="66"/>
      <c r="G505" s="66"/>
      <c r="H505" s="66"/>
      <c r="I505" s="23"/>
      <c r="J505" s="36" t="s">
        <v>90</v>
      </c>
      <c r="K505" s="66"/>
      <c r="L505" s="66" t="s">
        <v>91</v>
      </c>
      <c r="M505" s="66"/>
      <c r="N505" s="24"/>
      <c r="O505" s="66"/>
      <c r="P505" s="22"/>
      <c r="Q505" s="36" t="s">
        <v>90</v>
      </c>
      <c r="R505" s="66"/>
      <c r="S505" s="25" t="s">
        <v>91</v>
      </c>
      <c r="T505" s="26">
        <v>3870.36</v>
      </c>
      <c r="U505" s="100">
        <v>43724</v>
      </c>
      <c r="V505" s="100">
        <v>47011</v>
      </c>
      <c r="W505" s="26">
        <v>860</v>
      </c>
    </row>
    <row r="506" spans="1:23" ht="60" customHeight="1">
      <c r="A506" s="30" t="s">
        <v>919</v>
      </c>
      <c r="B506" s="66" t="s">
        <v>88</v>
      </c>
      <c r="C506" s="22" t="s">
        <v>83</v>
      </c>
      <c r="D506" s="22" t="s">
        <v>1644</v>
      </c>
      <c r="E506" s="21" t="s">
        <v>48</v>
      </c>
      <c r="F506" s="66"/>
      <c r="G506" s="66"/>
      <c r="H506" s="66"/>
      <c r="I506" s="23"/>
      <c r="J506" s="36" t="s">
        <v>1645</v>
      </c>
      <c r="K506" s="66"/>
      <c r="L506" s="22" t="s">
        <v>1646</v>
      </c>
      <c r="M506" s="66"/>
      <c r="N506" s="24"/>
      <c r="O506" s="66"/>
      <c r="P506" s="22"/>
      <c r="Q506" s="49" t="s">
        <v>1647</v>
      </c>
      <c r="R506" s="40"/>
      <c r="S506" s="30" t="s">
        <v>1648</v>
      </c>
      <c r="T506" s="26">
        <v>37500</v>
      </c>
      <c r="U506" s="100">
        <v>43831</v>
      </c>
      <c r="V506" s="100">
        <v>44926</v>
      </c>
      <c r="W506" s="26">
        <v>20657.09</v>
      </c>
    </row>
    <row r="507" spans="1:23" ht="90" customHeight="1">
      <c r="A507" s="30" t="s">
        <v>1649</v>
      </c>
      <c r="B507" s="66" t="s">
        <v>88</v>
      </c>
      <c r="C507" s="22" t="s">
        <v>83</v>
      </c>
      <c r="D507" s="22" t="s">
        <v>1650</v>
      </c>
      <c r="E507" s="22" t="s">
        <v>51</v>
      </c>
      <c r="F507" s="66"/>
      <c r="G507" s="66"/>
      <c r="H507" s="66"/>
      <c r="I507" s="23"/>
      <c r="J507" s="23" t="s">
        <v>119</v>
      </c>
      <c r="K507" s="66"/>
      <c r="L507" s="25" t="s">
        <v>1651</v>
      </c>
      <c r="M507" s="66"/>
      <c r="N507" s="24"/>
      <c r="O507" s="66"/>
      <c r="P507" s="22"/>
      <c r="Q507" s="23" t="s">
        <v>119</v>
      </c>
      <c r="R507" s="40"/>
      <c r="S507" s="30" t="s">
        <v>1651</v>
      </c>
      <c r="T507" s="26">
        <v>10254</v>
      </c>
      <c r="U507" s="100">
        <v>43739</v>
      </c>
      <c r="V507" s="100">
        <v>45565</v>
      </c>
      <c r="W507" s="26">
        <v>4101.57</v>
      </c>
    </row>
    <row r="508" spans="1:23" ht="405" customHeight="1">
      <c r="A508" s="30" t="s">
        <v>1652</v>
      </c>
      <c r="B508" s="66" t="s">
        <v>88</v>
      </c>
      <c r="C508" s="22" t="s">
        <v>83</v>
      </c>
      <c r="D508" s="22" t="s">
        <v>1653</v>
      </c>
      <c r="E508" s="22" t="s">
        <v>43</v>
      </c>
      <c r="F508" s="66"/>
      <c r="G508" s="66"/>
      <c r="H508" s="66"/>
      <c r="I508" s="23"/>
      <c r="J508" s="97" t="s">
        <v>1654</v>
      </c>
      <c r="K508" s="66"/>
      <c r="L508" s="80" t="s">
        <v>1655</v>
      </c>
      <c r="M508" s="66"/>
      <c r="N508" s="24"/>
      <c r="O508" s="66"/>
      <c r="P508" s="22"/>
      <c r="Q508" s="49" t="s">
        <v>1656</v>
      </c>
      <c r="R508" s="40"/>
      <c r="S508" s="30" t="s">
        <v>1657</v>
      </c>
      <c r="T508" s="26">
        <f>195000-(195000*0.217)</f>
        <v>152685</v>
      </c>
      <c r="U508" s="100">
        <v>43812</v>
      </c>
      <c r="V508" s="106">
        <v>44907</v>
      </c>
      <c r="W508" s="26">
        <v>0</v>
      </c>
    </row>
    <row r="509" spans="1:23" ht="90" customHeight="1">
      <c r="A509" s="96" t="s">
        <v>1658</v>
      </c>
      <c r="B509" s="64" t="s">
        <v>88</v>
      </c>
      <c r="C509" s="21" t="s">
        <v>83</v>
      </c>
      <c r="D509" s="21" t="s">
        <v>1659</v>
      </c>
      <c r="E509" s="21" t="s">
        <v>48</v>
      </c>
      <c r="F509" s="21"/>
      <c r="G509" s="66"/>
      <c r="H509" s="64"/>
      <c r="I509" s="64"/>
      <c r="J509" s="23" t="s">
        <v>220</v>
      </c>
      <c r="K509" s="64"/>
      <c r="L509" s="21" t="s">
        <v>221</v>
      </c>
      <c r="M509" s="64"/>
      <c r="N509" s="66"/>
      <c r="O509" s="64"/>
      <c r="P509" s="64"/>
      <c r="Q509" s="24" t="s">
        <v>220</v>
      </c>
      <c r="R509" s="64"/>
      <c r="S509" s="43" t="s">
        <v>221</v>
      </c>
      <c r="T509" s="28">
        <v>9149.7800000000007</v>
      </c>
      <c r="U509" s="100">
        <v>43770</v>
      </c>
      <c r="V509" s="100">
        <v>43951</v>
      </c>
      <c r="W509" s="95">
        <v>0</v>
      </c>
    </row>
    <row r="510" spans="1:23" ht="60" customHeight="1">
      <c r="A510" s="66" t="s">
        <v>1660</v>
      </c>
      <c r="B510" s="21" t="s">
        <v>88</v>
      </c>
      <c r="C510" s="21" t="s">
        <v>83</v>
      </c>
      <c r="D510" s="22" t="s">
        <v>1661</v>
      </c>
      <c r="E510" s="22" t="s">
        <v>39</v>
      </c>
      <c r="F510" s="22"/>
      <c r="G510" s="66"/>
      <c r="H510" s="66"/>
      <c r="I510" s="64"/>
      <c r="J510" s="23" t="s">
        <v>248</v>
      </c>
      <c r="K510" s="66"/>
      <c r="L510" s="22" t="s">
        <v>1662</v>
      </c>
      <c r="M510" s="66"/>
      <c r="N510" s="64"/>
      <c r="O510" s="66"/>
      <c r="P510" s="66"/>
      <c r="Q510" s="24" t="s">
        <v>248</v>
      </c>
      <c r="R510" s="71"/>
      <c r="S510" s="25" t="s">
        <v>249</v>
      </c>
      <c r="T510" s="28">
        <v>179400</v>
      </c>
      <c r="U510" s="100">
        <v>43862</v>
      </c>
      <c r="V510" s="100">
        <v>44957</v>
      </c>
      <c r="W510" s="95">
        <v>119600</v>
      </c>
    </row>
    <row r="511" spans="1:23" ht="120" customHeight="1">
      <c r="A511" s="66" t="s">
        <v>1663</v>
      </c>
      <c r="B511" s="21" t="s">
        <v>88</v>
      </c>
      <c r="C511" s="21" t="s">
        <v>83</v>
      </c>
      <c r="D511" s="22" t="s">
        <v>1664</v>
      </c>
      <c r="E511" s="21" t="s">
        <v>48</v>
      </c>
      <c r="F511" s="22"/>
      <c r="G511" s="66"/>
      <c r="H511" s="66"/>
      <c r="I511" s="64"/>
      <c r="J511" s="23" t="s">
        <v>1665</v>
      </c>
      <c r="K511" s="66"/>
      <c r="L511" s="22" t="s">
        <v>1666</v>
      </c>
      <c r="M511" s="66"/>
      <c r="N511" s="64"/>
      <c r="O511" s="66"/>
      <c r="P511" s="66"/>
      <c r="Q511" s="24" t="s">
        <v>1665</v>
      </c>
      <c r="R511" s="71"/>
      <c r="S511" s="30" t="s">
        <v>1666</v>
      </c>
      <c r="T511" s="28">
        <v>7748</v>
      </c>
      <c r="U511" s="100">
        <v>43770</v>
      </c>
      <c r="V511" s="100">
        <v>44377</v>
      </c>
      <c r="W511" s="95">
        <v>7747.98</v>
      </c>
    </row>
    <row r="512" spans="1:23" ht="60" customHeight="1">
      <c r="A512" s="64" t="s">
        <v>1667</v>
      </c>
      <c r="B512" s="21" t="s">
        <v>88</v>
      </c>
      <c r="C512" s="21" t="s">
        <v>83</v>
      </c>
      <c r="D512" s="22" t="s">
        <v>1668</v>
      </c>
      <c r="E512" s="21" t="s">
        <v>39</v>
      </c>
      <c r="F512" s="64"/>
      <c r="G512" s="64"/>
      <c r="H512" s="64"/>
      <c r="I512" s="64"/>
      <c r="J512" s="24"/>
      <c r="K512" s="64" t="s">
        <v>1669</v>
      </c>
      <c r="L512" s="21" t="s">
        <v>1670</v>
      </c>
      <c r="M512" s="64"/>
      <c r="N512" s="64"/>
      <c r="O512" s="64"/>
      <c r="P512" s="64"/>
      <c r="Q512" s="24"/>
      <c r="R512" s="64" t="s">
        <v>1669</v>
      </c>
      <c r="S512" s="21" t="s">
        <v>1670</v>
      </c>
      <c r="T512" s="28">
        <v>4545</v>
      </c>
      <c r="U512" s="100">
        <v>43885</v>
      </c>
      <c r="V512" s="100">
        <v>44250</v>
      </c>
      <c r="W512" s="28">
        <v>4545</v>
      </c>
    </row>
    <row r="513" spans="1:23" ht="60" customHeight="1">
      <c r="A513" s="64" t="s">
        <v>1671</v>
      </c>
      <c r="B513" s="21" t="s">
        <v>88</v>
      </c>
      <c r="C513" s="21" t="s">
        <v>83</v>
      </c>
      <c r="D513" s="21" t="s">
        <v>1672</v>
      </c>
      <c r="E513" s="21" t="s">
        <v>51</v>
      </c>
      <c r="F513" s="64"/>
      <c r="G513" s="64"/>
      <c r="H513" s="64"/>
      <c r="I513" s="64"/>
      <c r="J513" s="24" t="s">
        <v>217</v>
      </c>
      <c r="K513" s="64"/>
      <c r="L513" s="64" t="s">
        <v>542</v>
      </c>
      <c r="M513" s="64"/>
      <c r="N513" s="64"/>
      <c r="O513" s="64"/>
      <c r="P513" s="64"/>
      <c r="Q513" s="24" t="s">
        <v>217</v>
      </c>
      <c r="R513" s="64"/>
      <c r="S513" s="29" t="s">
        <v>542</v>
      </c>
      <c r="T513" s="28">
        <v>190000</v>
      </c>
      <c r="U513" s="100">
        <v>43922</v>
      </c>
      <c r="V513" s="100">
        <v>44286</v>
      </c>
      <c r="W513" s="28">
        <v>100764.12</v>
      </c>
    </row>
    <row r="514" spans="1:23" ht="135" customHeight="1">
      <c r="A514" s="64" t="s">
        <v>1673</v>
      </c>
      <c r="B514" s="21" t="s">
        <v>88</v>
      </c>
      <c r="C514" s="21" t="s">
        <v>83</v>
      </c>
      <c r="D514" s="21" t="s">
        <v>1674</v>
      </c>
      <c r="E514" s="21" t="s">
        <v>51</v>
      </c>
      <c r="F514" s="64"/>
      <c r="G514" s="64"/>
      <c r="H514" s="64"/>
      <c r="I514" s="64"/>
      <c r="J514" s="24" t="s">
        <v>1675</v>
      </c>
      <c r="K514" s="64"/>
      <c r="L514" s="64" t="s">
        <v>790</v>
      </c>
      <c r="M514" s="64"/>
      <c r="N514" s="64"/>
      <c r="O514" s="64"/>
      <c r="P514" s="64"/>
      <c r="Q514" s="24" t="s">
        <v>1675</v>
      </c>
      <c r="R514" s="64"/>
      <c r="S514" s="29" t="s">
        <v>790</v>
      </c>
      <c r="T514" s="28">
        <v>6902.2</v>
      </c>
      <c r="U514" s="100">
        <v>43952</v>
      </c>
      <c r="V514" s="100">
        <v>45777</v>
      </c>
      <c r="W514" s="28">
        <v>2070.63</v>
      </c>
    </row>
    <row r="515" spans="1:23" ht="60" customHeight="1">
      <c r="A515" s="64" t="s">
        <v>1676</v>
      </c>
      <c r="B515" s="21" t="s">
        <v>88</v>
      </c>
      <c r="C515" s="21" t="s">
        <v>83</v>
      </c>
      <c r="D515" s="22" t="s">
        <v>1677</v>
      </c>
      <c r="E515" s="22" t="s">
        <v>51</v>
      </c>
      <c r="F515" s="22"/>
      <c r="G515" s="66"/>
      <c r="H515" s="66"/>
      <c r="I515" s="64"/>
      <c r="J515" s="23" t="s">
        <v>1678</v>
      </c>
      <c r="K515" s="66"/>
      <c r="L515" s="22" t="s">
        <v>1679</v>
      </c>
      <c r="M515" s="66"/>
      <c r="N515" s="64"/>
      <c r="O515" s="66"/>
      <c r="P515" s="66"/>
      <c r="Q515" s="24" t="s">
        <v>1678</v>
      </c>
      <c r="R515" s="66"/>
      <c r="S515" s="30" t="s">
        <v>1679</v>
      </c>
      <c r="T515" s="28">
        <v>80000</v>
      </c>
      <c r="U515" s="100">
        <v>44044</v>
      </c>
      <c r="V515" s="100">
        <v>44408</v>
      </c>
      <c r="W515" s="28">
        <v>49658.1</v>
      </c>
    </row>
    <row r="516" spans="1:23" ht="45" customHeight="1">
      <c r="A516" s="64" t="s">
        <v>1680</v>
      </c>
      <c r="B516" s="21" t="s">
        <v>88</v>
      </c>
      <c r="C516" s="21" t="s">
        <v>83</v>
      </c>
      <c r="D516" s="21" t="s">
        <v>1681</v>
      </c>
      <c r="E516" s="21" t="s">
        <v>39</v>
      </c>
      <c r="F516" s="64"/>
      <c r="G516" s="64"/>
      <c r="H516" s="64"/>
      <c r="I516" s="64"/>
      <c r="J516" s="23" t="s">
        <v>204</v>
      </c>
      <c r="K516" s="64"/>
      <c r="L516" s="21" t="s">
        <v>1682</v>
      </c>
      <c r="M516" s="64"/>
      <c r="N516" s="66"/>
      <c r="O516" s="64"/>
      <c r="P516" s="64"/>
      <c r="Q516" s="24" t="s">
        <v>204</v>
      </c>
      <c r="R516" s="64"/>
      <c r="S516" s="43" t="s">
        <v>1682</v>
      </c>
      <c r="T516" s="28">
        <v>173.07</v>
      </c>
      <c r="U516" s="100">
        <v>43909</v>
      </c>
      <c r="V516" s="100">
        <v>44273</v>
      </c>
      <c r="W516" s="28">
        <v>173.07</v>
      </c>
    </row>
    <row r="517" spans="1:23" ht="180" customHeight="1">
      <c r="A517" s="64" t="s">
        <v>1683</v>
      </c>
      <c r="B517" s="21" t="s">
        <v>88</v>
      </c>
      <c r="C517" s="21" t="s">
        <v>83</v>
      </c>
      <c r="D517" s="21" t="s">
        <v>1684</v>
      </c>
      <c r="E517" s="21" t="s">
        <v>51</v>
      </c>
      <c r="F517" s="64"/>
      <c r="G517" s="64"/>
      <c r="H517" s="64"/>
      <c r="I517" s="64"/>
      <c r="J517" s="24" t="s">
        <v>119</v>
      </c>
      <c r="K517" s="64"/>
      <c r="L517" s="64" t="s">
        <v>120</v>
      </c>
      <c r="M517" s="64"/>
      <c r="N517" s="64"/>
      <c r="O517" s="64"/>
      <c r="P517" s="64"/>
      <c r="Q517" s="24" t="s">
        <v>119</v>
      </c>
      <c r="R517" s="64"/>
      <c r="S517" s="64" t="s">
        <v>120</v>
      </c>
      <c r="T517" s="28">
        <v>32340.2</v>
      </c>
      <c r="U517" s="100">
        <v>43952</v>
      </c>
      <c r="V517" s="100">
        <v>45777</v>
      </c>
      <c r="W517" s="28">
        <v>8398.76</v>
      </c>
    </row>
    <row r="518" spans="1:23" ht="75" customHeight="1">
      <c r="A518" s="64" t="s">
        <v>1685</v>
      </c>
      <c r="B518" s="29">
        <v>80204250585</v>
      </c>
      <c r="C518" s="21" t="s">
        <v>83</v>
      </c>
      <c r="D518" s="21" t="s">
        <v>1686</v>
      </c>
      <c r="E518" s="21" t="s">
        <v>48</v>
      </c>
      <c r="F518" s="81"/>
      <c r="G518" s="82"/>
      <c r="H518" s="64"/>
      <c r="I518" s="82"/>
      <c r="J518" s="23" t="s">
        <v>1687</v>
      </c>
      <c r="K518" s="64"/>
      <c r="L518" s="21" t="s">
        <v>1688</v>
      </c>
      <c r="M518" s="64"/>
      <c r="N518" s="66"/>
      <c r="O518" s="66"/>
      <c r="P518" s="66"/>
      <c r="Q518" s="23" t="s">
        <v>1687</v>
      </c>
      <c r="R518" s="66"/>
      <c r="S518" s="32" t="s">
        <v>1688</v>
      </c>
      <c r="T518" s="28">
        <v>2450</v>
      </c>
      <c r="U518" s="100">
        <v>43973</v>
      </c>
      <c r="V518" s="100">
        <v>44104</v>
      </c>
      <c r="W518" s="28">
        <v>2450</v>
      </c>
    </row>
    <row r="519" spans="1:23" ht="75" customHeight="1">
      <c r="A519" s="64" t="s">
        <v>1689</v>
      </c>
      <c r="B519" s="29">
        <v>80204250585</v>
      </c>
      <c r="C519" s="21" t="s">
        <v>83</v>
      </c>
      <c r="D519" s="21" t="s">
        <v>1690</v>
      </c>
      <c r="E519" s="21" t="s">
        <v>48</v>
      </c>
      <c r="F519" s="64"/>
      <c r="G519" s="64"/>
      <c r="H519" s="64"/>
      <c r="I519" s="64"/>
      <c r="J519" s="24" t="s">
        <v>1691</v>
      </c>
      <c r="K519" s="64"/>
      <c r="L519" s="64" t="s">
        <v>1692</v>
      </c>
      <c r="M519" s="64"/>
      <c r="N519" s="64"/>
      <c r="O519" s="64"/>
      <c r="P519" s="64"/>
      <c r="Q519" s="24" t="s">
        <v>1691</v>
      </c>
      <c r="R519" s="64"/>
      <c r="S519" s="29" t="s">
        <v>1692</v>
      </c>
      <c r="T519" s="28">
        <v>9360</v>
      </c>
      <c r="U519" s="100">
        <v>43976</v>
      </c>
      <c r="V519" s="100">
        <v>44135</v>
      </c>
      <c r="W519" s="28">
        <v>9360</v>
      </c>
    </row>
    <row r="520" spans="1:23" ht="120" customHeight="1">
      <c r="A520" s="64" t="s">
        <v>1693</v>
      </c>
      <c r="B520" s="29">
        <v>80204250585</v>
      </c>
      <c r="C520" s="21" t="s">
        <v>83</v>
      </c>
      <c r="D520" s="21" t="s">
        <v>1694</v>
      </c>
      <c r="E520" s="21" t="s">
        <v>38</v>
      </c>
      <c r="F520" s="64"/>
      <c r="G520" s="64"/>
      <c r="H520" s="64"/>
      <c r="I520" s="64"/>
      <c r="J520" s="24" t="s">
        <v>1398</v>
      </c>
      <c r="K520" s="64"/>
      <c r="L520" s="64" t="s">
        <v>1637</v>
      </c>
      <c r="M520" s="64"/>
      <c r="N520" s="64"/>
      <c r="O520" s="64"/>
      <c r="P520" s="64"/>
      <c r="Q520" s="24" t="s">
        <v>1398</v>
      </c>
      <c r="R520" s="64"/>
      <c r="S520" s="29" t="s">
        <v>1637</v>
      </c>
      <c r="T520" s="28">
        <v>131229.29999999999</v>
      </c>
      <c r="U520" s="100">
        <v>44013</v>
      </c>
      <c r="V520" s="106">
        <v>44469</v>
      </c>
      <c r="W520" s="28">
        <v>23059.88</v>
      </c>
    </row>
    <row r="521" spans="1:23" ht="60" customHeight="1">
      <c r="A521" s="64" t="s">
        <v>1695</v>
      </c>
      <c r="B521" s="29">
        <v>80204250585</v>
      </c>
      <c r="C521" s="21" t="s">
        <v>83</v>
      </c>
      <c r="D521" s="21" t="s">
        <v>1696</v>
      </c>
      <c r="E521" s="21" t="s">
        <v>48</v>
      </c>
      <c r="F521" s="64"/>
      <c r="G521" s="64"/>
      <c r="H521" s="64"/>
      <c r="I521" s="64"/>
      <c r="J521" s="24" t="s">
        <v>1697</v>
      </c>
      <c r="K521" s="64"/>
      <c r="L521" s="64" t="s">
        <v>1698</v>
      </c>
      <c r="M521" s="64"/>
      <c r="N521" s="64"/>
      <c r="O521" s="64"/>
      <c r="P521" s="64"/>
      <c r="Q521" s="24" t="s">
        <v>1697</v>
      </c>
      <c r="R521" s="64"/>
      <c r="S521" s="29" t="s">
        <v>1698</v>
      </c>
      <c r="T521" s="28">
        <v>17250</v>
      </c>
      <c r="U521" s="100">
        <v>43997</v>
      </c>
      <c r="V521" s="100">
        <v>44361</v>
      </c>
      <c r="W521" s="28">
        <v>17250</v>
      </c>
    </row>
    <row r="522" spans="1:23" ht="120" customHeight="1">
      <c r="A522" s="64" t="s">
        <v>1699</v>
      </c>
      <c r="B522" s="29">
        <v>80204250585</v>
      </c>
      <c r="C522" s="21" t="s">
        <v>83</v>
      </c>
      <c r="D522" s="21" t="s">
        <v>1700</v>
      </c>
      <c r="E522" s="21" t="s">
        <v>43</v>
      </c>
      <c r="F522" s="64"/>
      <c r="G522" s="64"/>
      <c r="H522" s="64"/>
      <c r="I522" s="64"/>
      <c r="J522" s="23" t="s">
        <v>1701</v>
      </c>
      <c r="K522" s="64"/>
      <c r="L522" s="21" t="s">
        <v>1702</v>
      </c>
      <c r="M522" s="64"/>
      <c r="N522" s="64"/>
      <c r="O522" s="64"/>
      <c r="P522" s="64"/>
      <c r="Q522" s="24" t="s">
        <v>1703</v>
      </c>
      <c r="R522" s="64"/>
      <c r="S522" s="29" t="s">
        <v>1704</v>
      </c>
      <c r="T522" s="28">
        <v>60150</v>
      </c>
      <c r="U522" s="100">
        <v>44287</v>
      </c>
      <c r="V522" s="100">
        <v>45382</v>
      </c>
      <c r="W522" s="28">
        <v>459.84</v>
      </c>
    </row>
    <row r="523" spans="1:23" ht="120" customHeight="1">
      <c r="A523" s="64" t="s">
        <v>1705</v>
      </c>
      <c r="B523" s="29">
        <v>80204250585</v>
      </c>
      <c r="C523" s="21" t="s">
        <v>83</v>
      </c>
      <c r="D523" s="21" t="s">
        <v>1706</v>
      </c>
      <c r="E523" s="21" t="s">
        <v>43</v>
      </c>
      <c r="F523" s="64"/>
      <c r="G523" s="64"/>
      <c r="H523" s="64"/>
      <c r="I523" s="64"/>
      <c r="J523" s="24" t="s">
        <v>226</v>
      </c>
      <c r="K523" s="43"/>
      <c r="L523" s="43" t="s">
        <v>227</v>
      </c>
      <c r="M523" s="64"/>
      <c r="N523" s="64"/>
      <c r="O523" s="64"/>
      <c r="P523" s="64"/>
      <c r="Q523" s="24" t="s">
        <v>226</v>
      </c>
      <c r="R523" s="43"/>
      <c r="S523" s="43" t="s">
        <v>227</v>
      </c>
      <c r="T523" s="28">
        <v>40030</v>
      </c>
      <c r="U523" s="100">
        <v>44221</v>
      </c>
      <c r="V523" s="100">
        <v>44950</v>
      </c>
      <c r="W523" s="28">
        <v>132</v>
      </c>
    </row>
    <row r="524" spans="1:23" ht="90" customHeight="1">
      <c r="A524" s="64" t="s">
        <v>1707</v>
      </c>
      <c r="B524" s="29">
        <v>80204250585</v>
      </c>
      <c r="C524" s="21" t="s">
        <v>83</v>
      </c>
      <c r="D524" s="21" t="s">
        <v>1708</v>
      </c>
      <c r="E524" s="21" t="s">
        <v>48</v>
      </c>
      <c r="F524" s="64"/>
      <c r="G524" s="64"/>
      <c r="H524" s="64"/>
      <c r="I524" s="64"/>
      <c r="J524" s="24" t="s">
        <v>1709</v>
      </c>
      <c r="K524" s="64"/>
      <c r="L524" s="64" t="s">
        <v>1710</v>
      </c>
      <c r="M524" s="64"/>
      <c r="N524" s="64"/>
      <c r="O524" s="64"/>
      <c r="P524" s="64"/>
      <c r="Q524" s="24" t="s">
        <v>1709</v>
      </c>
      <c r="R524" s="64"/>
      <c r="S524" s="29" t="s">
        <v>1710</v>
      </c>
      <c r="T524" s="28">
        <v>2550</v>
      </c>
      <c r="U524" s="100">
        <v>44046</v>
      </c>
      <c r="V524" s="100">
        <v>44834</v>
      </c>
      <c r="W524" s="28">
        <v>1700</v>
      </c>
    </row>
    <row r="525" spans="1:23" ht="90" customHeight="1">
      <c r="A525" s="64" t="s">
        <v>1711</v>
      </c>
      <c r="B525" s="29">
        <v>80204250585</v>
      </c>
      <c r="C525" s="21" t="s">
        <v>83</v>
      </c>
      <c r="D525" s="21" t="s">
        <v>1712</v>
      </c>
      <c r="E525" s="21" t="s">
        <v>48</v>
      </c>
      <c r="F525" s="64"/>
      <c r="G525" s="64"/>
      <c r="H525" s="64"/>
      <c r="I525" s="64"/>
      <c r="J525" s="24" t="s">
        <v>1713</v>
      </c>
      <c r="K525" s="64"/>
      <c r="L525" s="64" t="s">
        <v>1714</v>
      </c>
      <c r="M525" s="64"/>
      <c r="N525" s="64"/>
      <c r="O525" s="64"/>
      <c r="P525" s="64"/>
      <c r="Q525" s="24" t="s">
        <v>1713</v>
      </c>
      <c r="R525" s="64"/>
      <c r="S525" s="29" t="s">
        <v>1714</v>
      </c>
      <c r="T525" s="28">
        <v>1040</v>
      </c>
      <c r="U525" s="100">
        <v>44095</v>
      </c>
      <c r="V525" s="100">
        <v>44165</v>
      </c>
      <c r="W525" s="28">
        <v>1040</v>
      </c>
    </row>
    <row r="526" spans="1:23" ht="105" customHeight="1">
      <c r="A526" s="64" t="s">
        <v>1715</v>
      </c>
      <c r="B526" s="29">
        <v>80204250585</v>
      </c>
      <c r="C526" s="21" t="s">
        <v>83</v>
      </c>
      <c r="D526" s="21" t="s">
        <v>1716</v>
      </c>
      <c r="E526" s="21" t="s">
        <v>48</v>
      </c>
      <c r="F526" s="64"/>
      <c r="G526" s="64"/>
      <c r="H526" s="64"/>
      <c r="I526" s="64"/>
      <c r="J526" s="24" t="s">
        <v>1717</v>
      </c>
      <c r="K526" s="64"/>
      <c r="L526" s="64" t="s">
        <v>1718</v>
      </c>
      <c r="M526" s="64"/>
      <c r="N526" s="64"/>
      <c r="O526" s="64"/>
      <c r="P526" s="64"/>
      <c r="Q526" s="24" t="s">
        <v>1717</v>
      </c>
      <c r="R526" s="64"/>
      <c r="S526" s="29" t="s">
        <v>1718</v>
      </c>
      <c r="T526" s="28">
        <v>3250</v>
      </c>
      <c r="U526" s="100">
        <v>44034</v>
      </c>
      <c r="V526" s="100">
        <v>44165</v>
      </c>
      <c r="W526" s="28">
        <v>3250</v>
      </c>
    </row>
    <row r="527" spans="1:23" ht="120" customHeight="1">
      <c r="A527" s="64" t="s">
        <v>1719</v>
      </c>
      <c r="B527" s="29">
        <v>80204250585</v>
      </c>
      <c r="C527" s="21" t="s">
        <v>83</v>
      </c>
      <c r="D527" s="21" t="s">
        <v>1720</v>
      </c>
      <c r="E527" s="21" t="s">
        <v>48</v>
      </c>
      <c r="F527" s="64"/>
      <c r="G527" s="64"/>
      <c r="H527" s="64"/>
      <c r="I527" s="64"/>
      <c r="J527" s="24" t="s">
        <v>167</v>
      </c>
      <c r="K527" s="64"/>
      <c r="L527" s="64" t="s">
        <v>1721</v>
      </c>
      <c r="M527" s="64"/>
      <c r="N527" s="64"/>
      <c r="O527" s="64"/>
      <c r="P527" s="64"/>
      <c r="Q527" s="24" t="s">
        <v>167</v>
      </c>
      <c r="R527" s="64"/>
      <c r="S527" s="29" t="s">
        <v>1721</v>
      </c>
      <c r="T527" s="28">
        <v>5856</v>
      </c>
      <c r="U527" s="100">
        <v>44033</v>
      </c>
      <c r="V527" s="100">
        <v>44196</v>
      </c>
      <c r="W527" s="28">
        <v>1952</v>
      </c>
    </row>
    <row r="528" spans="1:23" ht="60" customHeight="1">
      <c r="A528" s="64" t="s">
        <v>1722</v>
      </c>
      <c r="B528" s="29">
        <v>80204250585</v>
      </c>
      <c r="C528" s="21" t="s">
        <v>83</v>
      </c>
      <c r="D528" s="21" t="s">
        <v>1723</v>
      </c>
      <c r="E528" s="21" t="s">
        <v>48</v>
      </c>
      <c r="F528" s="64"/>
      <c r="G528" s="64"/>
      <c r="H528" s="64"/>
      <c r="I528" s="64"/>
      <c r="J528" s="23" t="s">
        <v>716</v>
      </c>
      <c r="K528" s="64"/>
      <c r="L528" s="21" t="s">
        <v>715</v>
      </c>
      <c r="M528" s="64"/>
      <c r="N528" s="64"/>
      <c r="O528" s="64"/>
      <c r="P528" s="64"/>
      <c r="Q528" s="23" t="s">
        <v>716</v>
      </c>
      <c r="R528" s="64"/>
      <c r="S528" s="21" t="s">
        <v>715</v>
      </c>
      <c r="T528" s="28">
        <v>6336</v>
      </c>
      <c r="U528" s="100">
        <v>44166</v>
      </c>
      <c r="V528" s="100">
        <v>45260</v>
      </c>
      <c r="W528" s="28">
        <v>1584</v>
      </c>
    </row>
    <row r="529" spans="1:23" ht="120" customHeight="1">
      <c r="A529" s="64" t="s">
        <v>947</v>
      </c>
      <c r="B529" s="29">
        <v>80204250585</v>
      </c>
      <c r="C529" s="21" t="s">
        <v>83</v>
      </c>
      <c r="D529" s="21" t="s">
        <v>1724</v>
      </c>
      <c r="E529" s="21" t="s">
        <v>48</v>
      </c>
      <c r="F529" s="64"/>
      <c r="G529" s="64"/>
      <c r="H529" s="64"/>
      <c r="I529" s="64"/>
      <c r="J529" s="24" t="s">
        <v>220</v>
      </c>
      <c r="K529" s="64"/>
      <c r="L529" s="64" t="s">
        <v>275</v>
      </c>
      <c r="M529" s="64"/>
      <c r="N529" s="64"/>
      <c r="O529" s="64"/>
      <c r="P529" s="64"/>
      <c r="Q529" s="24" t="s">
        <v>220</v>
      </c>
      <c r="R529" s="64"/>
      <c r="S529" s="64" t="s">
        <v>275</v>
      </c>
      <c r="T529" s="28">
        <v>5670</v>
      </c>
      <c r="U529" s="100">
        <v>44136</v>
      </c>
      <c r="V529" s="100">
        <v>44316</v>
      </c>
      <c r="W529" s="28">
        <v>2610</v>
      </c>
    </row>
    <row r="530" spans="1:23" ht="105" customHeight="1">
      <c r="A530" s="64" t="s">
        <v>1725</v>
      </c>
      <c r="B530" s="29">
        <v>80204250585</v>
      </c>
      <c r="C530" s="21" t="s">
        <v>83</v>
      </c>
      <c r="D530" s="21" t="s">
        <v>1726</v>
      </c>
      <c r="E530" s="21" t="s">
        <v>48</v>
      </c>
      <c r="F530" s="64"/>
      <c r="G530" s="64"/>
      <c r="H530" s="64"/>
      <c r="I530" s="64"/>
      <c r="J530" s="24" t="s">
        <v>754</v>
      </c>
      <c r="K530" s="64"/>
      <c r="L530" s="64" t="s">
        <v>949</v>
      </c>
      <c r="M530" s="64"/>
      <c r="N530" s="64"/>
      <c r="O530" s="64"/>
      <c r="P530" s="64"/>
      <c r="Q530" s="24" t="s">
        <v>754</v>
      </c>
      <c r="R530" s="64"/>
      <c r="S530" s="64" t="s">
        <v>949</v>
      </c>
      <c r="T530" s="28">
        <v>5640</v>
      </c>
      <c r="U530" s="100">
        <v>44136</v>
      </c>
      <c r="V530" s="100">
        <v>44316</v>
      </c>
      <c r="W530" s="28">
        <v>987</v>
      </c>
    </row>
    <row r="531" spans="1:23" ht="165" customHeight="1">
      <c r="A531" s="64" t="s">
        <v>1727</v>
      </c>
      <c r="B531" s="29">
        <v>80204250585</v>
      </c>
      <c r="C531" s="21" t="s">
        <v>83</v>
      </c>
      <c r="D531" s="21" t="s">
        <v>1728</v>
      </c>
      <c r="E531" s="21" t="s">
        <v>48</v>
      </c>
      <c r="F531" s="64"/>
      <c r="G531" s="64"/>
      <c r="H531" s="64"/>
      <c r="I531" s="64"/>
      <c r="J531" s="24" t="s">
        <v>1729</v>
      </c>
      <c r="K531" s="64"/>
      <c r="L531" s="64" t="s">
        <v>1730</v>
      </c>
      <c r="M531" s="64"/>
      <c r="N531" s="64"/>
      <c r="O531" s="64"/>
      <c r="P531" s="64"/>
      <c r="Q531" s="24" t="s">
        <v>1729</v>
      </c>
      <c r="R531" s="64"/>
      <c r="S531" s="29" t="s">
        <v>1730</v>
      </c>
      <c r="T531" s="28">
        <v>845</v>
      </c>
      <c r="U531" s="100">
        <v>44197</v>
      </c>
      <c r="V531" s="100">
        <v>44561</v>
      </c>
      <c r="W531" s="28">
        <v>845</v>
      </c>
    </row>
    <row r="532" spans="1:23" ht="45" customHeight="1">
      <c r="A532" s="64" t="s">
        <v>1731</v>
      </c>
      <c r="B532" s="29">
        <v>80204250585</v>
      </c>
      <c r="C532" s="21" t="s">
        <v>83</v>
      </c>
      <c r="D532" s="21" t="s">
        <v>1732</v>
      </c>
      <c r="E532" s="21" t="s">
        <v>48</v>
      </c>
      <c r="F532" s="64"/>
      <c r="G532" s="64"/>
      <c r="H532" s="64"/>
      <c r="I532" s="64"/>
      <c r="J532" s="23" t="s">
        <v>1733</v>
      </c>
      <c r="K532" s="64"/>
      <c r="L532" s="64" t="s">
        <v>1734</v>
      </c>
      <c r="M532" s="64"/>
      <c r="N532" s="64"/>
      <c r="O532" s="64"/>
      <c r="P532" s="64"/>
      <c r="Q532" s="24" t="s">
        <v>665</v>
      </c>
      <c r="R532" s="64"/>
      <c r="S532" s="29" t="s">
        <v>1735</v>
      </c>
      <c r="T532" s="28">
        <v>1574.65</v>
      </c>
      <c r="U532" s="100">
        <v>44178</v>
      </c>
      <c r="V532" s="100">
        <v>44542</v>
      </c>
      <c r="W532" s="28">
        <v>1574.63</v>
      </c>
    </row>
    <row r="533" spans="1:23" ht="120" customHeight="1">
      <c r="A533" s="64" t="s">
        <v>1736</v>
      </c>
      <c r="B533" s="29">
        <v>80204250585</v>
      </c>
      <c r="C533" s="21" t="s">
        <v>83</v>
      </c>
      <c r="D533" s="21" t="s">
        <v>1737</v>
      </c>
      <c r="E533" s="21" t="s">
        <v>48</v>
      </c>
      <c r="F533" s="64"/>
      <c r="G533" s="64"/>
      <c r="H533" s="64"/>
      <c r="I533" s="64"/>
      <c r="J533" s="24" t="s">
        <v>167</v>
      </c>
      <c r="K533" s="64"/>
      <c r="L533" s="64" t="s">
        <v>1721</v>
      </c>
      <c r="M533" s="64"/>
      <c r="N533" s="64"/>
      <c r="O533" s="64"/>
      <c r="P533" s="64"/>
      <c r="Q533" s="24" t="s">
        <v>167</v>
      </c>
      <c r="R533" s="64"/>
      <c r="S533" s="29" t="s">
        <v>1721</v>
      </c>
      <c r="T533" s="28">
        <v>3840</v>
      </c>
      <c r="U533" s="100">
        <v>44197</v>
      </c>
      <c r="V533" s="100">
        <v>44377</v>
      </c>
      <c r="W533" s="28">
        <v>1088</v>
      </c>
    </row>
    <row r="534" spans="1:23" ht="105" customHeight="1">
      <c r="A534" s="64" t="s">
        <v>1738</v>
      </c>
      <c r="B534" s="29">
        <v>80204250585</v>
      </c>
      <c r="C534" s="64" t="s">
        <v>83</v>
      </c>
      <c r="D534" s="21" t="s">
        <v>1739</v>
      </c>
      <c r="E534" s="21" t="s">
        <v>48</v>
      </c>
      <c r="F534" s="64"/>
      <c r="G534" s="64"/>
      <c r="H534" s="64"/>
      <c r="I534" s="64"/>
      <c r="J534" s="24" t="s">
        <v>167</v>
      </c>
      <c r="K534" s="64"/>
      <c r="L534" s="21" t="s">
        <v>1721</v>
      </c>
      <c r="M534" s="64"/>
      <c r="N534" s="64"/>
      <c r="O534" s="64"/>
      <c r="P534" s="64"/>
      <c r="Q534" s="24" t="s">
        <v>167</v>
      </c>
      <c r="R534" s="64"/>
      <c r="S534" s="21" t="s">
        <v>1721</v>
      </c>
      <c r="T534" s="123">
        <v>20000</v>
      </c>
      <c r="U534" s="100">
        <v>44124</v>
      </c>
      <c r="V534" s="100">
        <v>44561</v>
      </c>
      <c r="W534" s="28">
        <v>1615</v>
      </c>
    </row>
    <row r="535" spans="1:23" ht="90" customHeight="1">
      <c r="A535" s="64" t="s">
        <v>1740</v>
      </c>
      <c r="B535" s="29">
        <v>80204250585</v>
      </c>
      <c r="C535" s="21" t="s">
        <v>83</v>
      </c>
      <c r="D535" s="21" t="s">
        <v>1741</v>
      </c>
      <c r="E535" s="21" t="s">
        <v>48</v>
      </c>
      <c r="F535" s="64"/>
      <c r="G535" s="64"/>
      <c r="H535" s="64"/>
      <c r="I535" s="64"/>
      <c r="J535" s="24" t="s">
        <v>167</v>
      </c>
      <c r="K535" s="64"/>
      <c r="L535" s="21" t="s">
        <v>1721</v>
      </c>
      <c r="M535" s="64"/>
      <c r="N535" s="64"/>
      <c r="O535" s="64"/>
      <c r="P535" s="64"/>
      <c r="Q535" s="24" t="s">
        <v>167</v>
      </c>
      <c r="R535" s="64"/>
      <c r="S535" s="21" t="s">
        <v>1721</v>
      </c>
      <c r="T535" s="28">
        <v>4950</v>
      </c>
      <c r="U535" s="100">
        <v>44116</v>
      </c>
      <c r="V535" s="100">
        <v>44196</v>
      </c>
      <c r="W535" s="28">
        <v>3510</v>
      </c>
    </row>
    <row r="536" spans="1:23" ht="75" customHeight="1">
      <c r="A536" s="64" t="s">
        <v>1742</v>
      </c>
      <c r="B536" s="29">
        <v>80204250585</v>
      </c>
      <c r="C536" s="21" t="s">
        <v>83</v>
      </c>
      <c r="D536" s="21" t="s">
        <v>1743</v>
      </c>
      <c r="E536" s="21" t="s">
        <v>48</v>
      </c>
      <c r="F536" s="64"/>
      <c r="G536" s="64"/>
      <c r="H536" s="64"/>
      <c r="I536" s="64"/>
      <c r="J536" s="24" t="s">
        <v>1691</v>
      </c>
      <c r="K536" s="64"/>
      <c r="L536" s="64" t="s">
        <v>1692</v>
      </c>
      <c r="M536" s="64"/>
      <c r="N536" s="64"/>
      <c r="O536" s="64"/>
      <c r="P536" s="64"/>
      <c r="Q536" s="24" t="s">
        <v>1691</v>
      </c>
      <c r="R536" s="64"/>
      <c r="S536" s="64" t="s">
        <v>1692</v>
      </c>
      <c r="T536" s="28">
        <v>11520</v>
      </c>
      <c r="U536" s="100">
        <v>44146</v>
      </c>
      <c r="V536" s="100">
        <v>44926</v>
      </c>
      <c r="W536" s="28">
        <v>9216</v>
      </c>
    </row>
    <row r="537" spans="1:23" ht="60" customHeight="1">
      <c r="A537" s="64" t="s">
        <v>1744</v>
      </c>
      <c r="B537" s="21" t="s">
        <v>88</v>
      </c>
      <c r="C537" s="21" t="s">
        <v>83</v>
      </c>
      <c r="D537" s="22" t="s">
        <v>1745</v>
      </c>
      <c r="E537" s="21" t="s">
        <v>39</v>
      </c>
      <c r="F537" s="64"/>
      <c r="G537" s="64"/>
      <c r="H537" s="64"/>
      <c r="I537" s="64"/>
      <c r="J537" s="24"/>
      <c r="K537" s="64" t="s">
        <v>1669</v>
      </c>
      <c r="L537" s="21" t="s">
        <v>1670</v>
      </c>
      <c r="M537" s="64"/>
      <c r="N537" s="64"/>
      <c r="O537" s="64"/>
      <c r="P537" s="64"/>
      <c r="Q537" s="24"/>
      <c r="R537" s="64" t="s">
        <v>1669</v>
      </c>
      <c r="S537" s="21" t="s">
        <v>1670</v>
      </c>
      <c r="T537" s="28">
        <v>4634</v>
      </c>
      <c r="U537" s="100">
        <v>44251</v>
      </c>
      <c r="V537" s="100">
        <v>44615</v>
      </c>
      <c r="W537" s="28">
        <v>4634</v>
      </c>
    </row>
    <row r="538" spans="1:23" ht="120" customHeight="1">
      <c r="A538" s="64" t="s">
        <v>1746</v>
      </c>
      <c r="B538" s="29" t="s">
        <v>88</v>
      </c>
      <c r="C538" s="21" t="s">
        <v>83</v>
      </c>
      <c r="D538" s="21" t="s">
        <v>1747</v>
      </c>
      <c r="E538" s="21" t="s">
        <v>48</v>
      </c>
      <c r="F538" s="64"/>
      <c r="G538" s="64"/>
      <c r="H538" s="64"/>
      <c r="I538" s="64"/>
      <c r="J538" s="23" t="s">
        <v>1748</v>
      </c>
      <c r="K538" s="64"/>
      <c r="L538" s="21" t="s">
        <v>1749</v>
      </c>
      <c r="M538" s="64"/>
      <c r="N538" s="64"/>
      <c r="O538" s="64"/>
      <c r="P538" s="64"/>
      <c r="Q538" s="24" t="s">
        <v>716</v>
      </c>
      <c r="R538" s="64"/>
      <c r="S538" s="21" t="s">
        <v>715</v>
      </c>
      <c r="T538" s="28">
        <v>19699.62</v>
      </c>
      <c r="U538" s="100">
        <v>44256</v>
      </c>
      <c r="V538" s="100">
        <v>45351</v>
      </c>
      <c r="W538" s="28">
        <v>3594.11</v>
      </c>
    </row>
    <row r="539" spans="1:23" ht="75" customHeight="1">
      <c r="A539" s="64">
        <v>8617218141</v>
      </c>
      <c r="B539" s="29" t="s">
        <v>88</v>
      </c>
      <c r="C539" s="21" t="s">
        <v>83</v>
      </c>
      <c r="D539" s="21" t="s">
        <v>1750</v>
      </c>
      <c r="E539" s="21" t="s">
        <v>51</v>
      </c>
      <c r="F539" s="64"/>
      <c r="G539" s="64"/>
      <c r="H539" s="64"/>
      <c r="I539" s="64"/>
      <c r="J539" s="24" t="s">
        <v>217</v>
      </c>
      <c r="K539" s="64"/>
      <c r="L539" s="21" t="s">
        <v>1751</v>
      </c>
      <c r="M539" s="64"/>
      <c r="N539" s="64"/>
      <c r="O539" s="64"/>
      <c r="P539" s="64"/>
      <c r="Q539" s="24" t="s">
        <v>217</v>
      </c>
      <c r="R539" s="64"/>
      <c r="S539" s="21" t="s">
        <v>1751</v>
      </c>
      <c r="T539" s="28">
        <v>170000</v>
      </c>
      <c r="U539" s="100">
        <v>44287</v>
      </c>
      <c r="V539" s="100">
        <v>44651</v>
      </c>
      <c r="W539" s="28">
        <v>95424.75</v>
      </c>
    </row>
    <row r="540" spans="1:23" ht="45" customHeight="1">
      <c r="A540" s="64" t="s">
        <v>1752</v>
      </c>
      <c r="B540" s="29" t="s">
        <v>88</v>
      </c>
      <c r="C540" s="21" t="s">
        <v>83</v>
      </c>
      <c r="D540" s="21" t="s">
        <v>1753</v>
      </c>
      <c r="E540" s="21" t="s">
        <v>48</v>
      </c>
      <c r="F540" s="64"/>
      <c r="G540" s="64"/>
      <c r="H540" s="64"/>
      <c r="I540" s="64"/>
      <c r="J540" s="24" t="s">
        <v>1754</v>
      </c>
      <c r="K540" s="64"/>
      <c r="L540" s="21" t="s">
        <v>1755</v>
      </c>
      <c r="M540" s="64"/>
      <c r="N540" s="64"/>
      <c r="O540" s="64"/>
      <c r="P540" s="64"/>
      <c r="Q540" s="24" t="s">
        <v>1754</v>
      </c>
      <c r="R540" s="64"/>
      <c r="S540" s="21" t="s">
        <v>1755</v>
      </c>
      <c r="T540" s="28">
        <v>10000</v>
      </c>
      <c r="U540" s="100">
        <v>44249</v>
      </c>
      <c r="V540" s="100">
        <v>44561</v>
      </c>
      <c r="W540" s="28">
        <v>1360</v>
      </c>
    </row>
    <row r="541" spans="1:23" ht="60" customHeight="1">
      <c r="A541" s="64" t="s">
        <v>1756</v>
      </c>
      <c r="B541" s="29" t="s">
        <v>88</v>
      </c>
      <c r="C541" s="21" t="s">
        <v>83</v>
      </c>
      <c r="D541" s="21" t="s">
        <v>1757</v>
      </c>
      <c r="E541" s="21" t="s">
        <v>51</v>
      </c>
      <c r="F541" s="64"/>
      <c r="G541" s="64"/>
      <c r="H541" s="64"/>
      <c r="I541" s="64"/>
      <c r="J541" s="24" t="s">
        <v>1758</v>
      </c>
      <c r="K541" s="64"/>
      <c r="L541" s="64" t="s">
        <v>1759</v>
      </c>
      <c r="M541" s="64"/>
      <c r="N541" s="64"/>
      <c r="O541" s="64"/>
      <c r="P541" s="64"/>
      <c r="Q541" s="24" t="s">
        <v>1758</v>
      </c>
      <c r="R541" s="64"/>
      <c r="S541" s="64" t="s">
        <v>1759</v>
      </c>
      <c r="T541" s="28">
        <v>140000</v>
      </c>
      <c r="U541" s="100">
        <v>44409</v>
      </c>
      <c r="V541" s="100">
        <v>45138</v>
      </c>
      <c r="W541" s="28">
        <v>2377.8200000000002</v>
      </c>
    </row>
    <row r="542" spans="1:23" ht="60" customHeight="1">
      <c r="A542" s="64" t="s">
        <v>1760</v>
      </c>
      <c r="B542" s="21" t="s">
        <v>88</v>
      </c>
      <c r="C542" s="21" t="s">
        <v>83</v>
      </c>
      <c r="D542" s="21" t="s">
        <v>1761</v>
      </c>
      <c r="E542" s="21" t="s">
        <v>39</v>
      </c>
      <c r="F542" s="64"/>
      <c r="G542" s="64"/>
      <c r="H542" s="64"/>
      <c r="I542" s="64"/>
      <c r="J542" s="23" t="s">
        <v>204</v>
      </c>
      <c r="K542" s="64"/>
      <c r="L542" s="21" t="s">
        <v>1682</v>
      </c>
      <c r="M542" s="64"/>
      <c r="N542" s="66"/>
      <c r="O542" s="64"/>
      <c r="P542" s="64"/>
      <c r="Q542" s="24" t="s">
        <v>204</v>
      </c>
      <c r="R542" s="64"/>
      <c r="S542" s="43" t="s">
        <v>1682</v>
      </c>
      <c r="T542" s="28">
        <v>173.07</v>
      </c>
      <c r="U542" s="100">
        <v>44274</v>
      </c>
      <c r="V542" s="100">
        <v>44638</v>
      </c>
      <c r="W542" s="28">
        <v>173.07</v>
      </c>
    </row>
    <row r="543" spans="1:23" ht="105" customHeight="1">
      <c r="A543" s="64" t="s">
        <v>1762</v>
      </c>
      <c r="B543" s="21" t="s">
        <v>88</v>
      </c>
      <c r="C543" s="21" t="s">
        <v>83</v>
      </c>
      <c r="D543" s="75" t="s">
        <v>1763</v>
      </c>
      <c r="E543" s="21" t="s">
        <v>48</v>
      </c>
      <c r="F543" s="64"/>
      <c r="G543" s="64"/>
      <c r="H543" s="64"/>
      <c r="I543" s="64"/>
      <c r="J543" s="24" t="s">
        <v>1764</v>
      </c>
      <c r="K543" s="64"/>
      <c r="L543" s="64" t="s">
        <v>1765</v>
      </c>
      <c r="M543" s="64"/>
      <c r="N543" s="64"/>
      <c r="O543" s="64"/>
      <c r="P543" s="64"/>
      <c r="Q543" s="24" t="s">
        <v>1764</v>
      </c>
      <c r="R543" s="64"/>
      <c r="S543" s="64" t="s">
        <v>1765</v>
      </c>
      <c r="T543" s="28">
        <v>12000</v>
      </c>
      <c r="U543" s="100">
        <v>44271</v>
      </c>
      <c r="V543" s="100">
        <v>44561</v>
      </c>
      <c r="W543" s="28">
        <v>12000</v>
      </c>
    </row>
    <row r="544" spans="1:23" ht="105" customHeight="1">
      <c r="A544" s="64" t="s">
        <v>1766</v>
      </c>
      <c r="B544" s="21" t="s">
        <v>88</v>
      </c>
      <c r="C544" s="21" t="s">
        <v>83</v>
      </c>
      <c r="D544" s="75" t="s">
        <v>1767</v>
      </c>
      <c r="E544" s="21" t="s">
        <v>48</v>
      </c>
      <c r="F544" s="64"/>
      <c r="G544" s="64"/>
      <c r="H544" s="64"/>
      <c r="I544" s="64"/>
      <c r="J544" s="24" t="s">
        <v>1768</v>
      </c>
      <c r="K544" s="64"/>
      <c r="L544" s="21" t="s">
        <v>1769</v>
      </c>
      <c r="M544" s="64"/>
      <c r="N544" s="64"/>
      <c r="O544" s="64"/>
      <c r="P544" s="64"/>
      <c r="Q544" s="24" t="s">
        <v>1768</v>
      </c>
      <c r="R544" s="64"/>
      <c r="S544" s="64" t="s">
        <v>1769</v>
      </c>
      <c r="T544" s="28">
        <v>685</v>
      </c>
      <c r="U544" s="100">
        <v>44301</v>
      </c>
      <c r="V544" s="100">
        <v>44361</v>
      </c>
      <c r="W544" s="28">
        <v>684.8</v>
      </c>
    </row>
    <row r="545" spans="1:23" ht="75" customHeight="1">
      <c r="A545" s="64" t="s">
        <v>1770</v>
      </c>
      <c r="B545" s="21" t="s">
        <v>88</v>
      </c>
      <c r="C545" s="21" t="s">
        <v>83</v>
      </c>
      <c r="D545" s="75" t="s">
        <v>1771</v>
      </c>
      <c r="E545" s="21" t="s">
        <v>48</v>
      </c>
      <c r="F545" s="64"/>
      <c r="G545" s="64"/>
      <c r="H545" s="64"/>
      <c r="I545" s="64"/>
      <c r="J545" s="23" t="s">
        <v>1772</v>
      </c>
      <c r="K545" s="64"/>
      <c r="L545" s="21" t="s">
        <v>1773</v>
      </c>
      <c r="M545" s="64"/>
      <c r="N545" s="64"/>
      <c r="O545" s="64"/>
      <c r="P545" s="64"/>
      <c r="Q545" s="24" t="s">
        <v>1774</v>
      </c>
      <c r="R545" s="64"/>
      <c r="S545" s="29" t="s">
        <v>1775</v>
      </c>
      <c r="T545" s="28">
        <v>5185</v>
      </c>
      <c r="U545" s="100">
        <v>44327</v>
      </c>
      <c r="V545" s="100">
        <v>44372</v>
      </c>
      <c r="W545" s="28">
        <v>5185</v>
      </c>
    </row>
    <row r="546" spans="1:23" ht="120" customHeight="1">
      <c r="A546" s="64" t="s">
        <v>1776</v>
      </c>
      <c r="B546" s="21" t="s">
        <v>88</v>
      </c>
      <c r="C546" s="21" t="s">
        <v>83</v>
      </c>
      <c r="D546" s="75" t="s">
        <v>1777</v>
      </c>
      <c r="E546" s="21" t="s">
        <v>48</v>
      </c>
      <c r="F546" s="64"/>
      <c r="G546" s="64"/>
      <c r="H546" s="64"/>
      <c r="I546" s="64"/>
      <c r="J546" s="23" t="s">
        <v>1778</v>
      </c>
      <c r="K546" s="64"/>
      <c r="L546" s="21" t="s">
        <v>1779</v>
      </c>
      <c r="M546" s="64"/>
      <c r="N546" s="64"/>
      <c r="O546" s="64"/>
      <c r="P546" s="64"/>
      <c r="Q546" s="24" t="s">
        <v>1780</v>
      </c>
      <c r="R546" s="64"/>
      <c r="S546" s="29" t="s">
        <v>1781</v>
      </c>
      <c r="T546" s="28">
        <v>1996</v>
      </c>
      <c r="U546" s="100">
        <v>44338</v>
      </c>
      <c r="V546" s="100">
        <v>45068</v>
      </c>
      <c r="W546" s="28">
        <v>1996</v>
      </c>
    </row>
    <row r="547" spans="1:23" ht="90" customHeight="1">
      <c r="A547" s="64" t="s">
        <v>1782</v>
      </c>
      <c r="B547" s="21" t="s">
        <v>88</v>
      </c>
      <c r="C547" s="21" t="s">
        <v>83</v>
      </c>
      <c r="D547" s="75" t="s">
        <v>1783</v>
      </c>
      <c r="E547" s="21" t="s">
        <v>48</v>
      </c>
      <c r="F547" s="64"/>
      <c r="G547" s="64"/>
      <c r="H547" s="64"/>
      <c r="I547" s="64"/>
      <c r="J547" s="23" t="s">
        <v>1784</v>
      </c>
      <c r="K547" s="64"/>
      <c r="L547" s="21" t="s">
        <v>1785</v>
      </c>
      <c r="M547" s="64"/>
      <c r="N547" s="64"/>
      <c r="O547" s="64"/>
      <c r="P547" s="64"/>
      <c r="Q547" s="24" t="s">
        <v>1784</v>
      </c>
      <c r="R547" s="64"/>
      <c r="S547" s="21" t="s">
        <v>1785</v>
      </c>
      <c r="T547" s="28">
        <v>1250</v>
      </c>
      <c r="U547" s="100">
        <v>44327</v>
      </c>
      <c r="V547" s="100">
        <v>44387</v>
      </c>
      <c r="W547" s="28">
        <v>1250</v>
      </c>
    </row>
    <row r="548" spans="1:23" ht="105" customHeight="1">
      <c r="A548" s="64" t="s">
        <v>1786</v>
      </c>
      <c r="B548" s="64" t="s">
        <v>88</v>
      </c>
      <c r="C548" s="21" t="s">
        <v>83</v>
      </c>
      <c r="D548" s="21" t="s">
        <v>1787</v>
      </c>
      <c r="E548" s="21" t="s">
        <v>48</v>
      </c>
      <c r="F548" s="64"/>
      <c r="G548" s="64"/>
      <c r="H548" s="64"/>
      <c r="I548" s="64"/>
      <c r="J548" s="24" t="s">
        <v>1788</v>
      </c>
      <c r="K548" s="64"/>
      <c r="L548" s="64" t="s">
        <v>1789</v>
      </c>
      <c r="M548" s="64"/>
      <c r="N548" s="64"/>
      <c r="O548" s="64"/>
      <c r="P548" s="64"/>
      <c r="Q548" s="24" t="s">
        <v>1788</v>
      </c>
      <c r="R548" s="64"/>
      <c r="S548" s="64" t="s">
        <v>1789</v>
      </c>
      <c r="T548" s="28">
        <v>450</v>
      </c>
      <c r="U548" s="100">
        <v>44306</v>
      </c>
      <c r="V548" s="100">
        <v>44319</v>
      </c>
      <c r="W548" s="28">
        <v>450</v>
      </c>
    </row>
    <row r="549" spans="1:23" ht="75" customHeight="1">
      <c r="A549" s="64" t="s">
        <v>1790</v>
      </c>
      <c r="B549" s="64" t="s">
        <v>88</v>
      </c>
      <c r="C549" s="21" t="s">
        <v>83</v>
      </c>
      <c r="D549" s="21" t="s">
        <v>1791</v>
      </c>
      <c r="E549" s="21" t="s">
        <v>48</v>
      </c>
      <c r="F549" s="64"/>
      <c r="G549" s="64"/>
      <c r="H549" s="64"/>
      <c r="I549" s="64"/>
      <c r="J549" s="24" t="s">
        <v>1697</v>
      </c>
      <c r="K549" s="64"/>
      <c r="L549" s="64" t="s">
        <v>1698</v>
      </c>
      <c r="M549" s="64"/>
      <c r="N549" s="64"/>
      <c r="O549" s="64"/>
      <c r="P549" s="64"/>
      <c r="Q549" s="24" t="s">
        <v>1697</v>
      </c>
      <c r="R549" s="64"/>
      <c r="S549" s="64" t="s">
        <v>1698</v>
      </c>
      <c r="T549" s="28">
        <v>6980</v>
      </c>
      <c r="U549" s="100">
        <v>44386</v>
      </c>
      <c r="V549" s="100">
        <v>45115</v>
      </c>
      <c r="W549" s="28">
        <v>6980</v>
      </c>
    </row>
    <row r="550" spans="1:23" ht="150" customHeight="1">
      <c r="A550" s="64" t="s">
        <v>1792</v>
      </c>
      <c r="B550" s="29">
        <v>80204250585</v>
      </c>
      <c r="C550" s="21" t="s">
        <v>83</v>
      </c>
      <c r="D550" s="21" t="s">
        <v>1793</v>
      </c>
      <c r="E550" s="21" t="s">
        <v>48</v>
      </c>
      <c r="F550" s="64"/>
      <c r="G550" s="64"/>
      <c r="H550" s="64"/>
      <c r="I550" s="64"/>
      <c r="J550" s="24" t="s">
        <v>167</v>
      </c>
      <c r="K550" s="64"/>
      <c r="L550" s="21" t="s">
        <v>1721</v>
      </c>
      <c r="M550" s="64"/>
      <c r="N550" s="64"/>
      <c r="O550" s="64"/>
      <c r="P550" s="64"/>
      <c r="Q550" s="24" t="s">
        <v>167</v>
      </c>
      <c r="R550" s="64"/>
      <c r="S550" s="21" t="s">
        <v>1721</v>
      </c>
      <c r="T550" s="28">
        <v>3840</v>
      </c>
      <c r="U550" s="100">
        <v>44378</v>
      </c>
      <c r="V550" s="100">
        <v>44561</v>
      </c>
      <c r="W550" s="28">
        <v>736</v>
      </c>
    </row>
    <row r="551" spans="1:23" ht="90" customHeight="1">
      <c r="A551" s="66" t="s">
        <v>1794</v>
      </c>
      <c r="B551" s="29">
        <v>80204250585</v>
      </c>
      <c r="C551" s="21" t="s">
        <v>83</v>
      </c>
      <c r="D551" s="21" t="s">
        <v>1795</v>
      </c>
      <c r="E551" s="21" t="s">
        <v>48</v>
      </c>
      <c r="F551" s="22" t="s">
        <v>1616</v>
      </c>
      <c r="G551" s="66"/>
      <c r="H551" s="22" t="s">
        <v>1617</v>
      </c>
      <c r="I551" s="21" t="s">
        <v>1382</v>
      </c>
      <c r="J551" s="24"/>
      <c r="K551" s="66"/>
      <c r="L551" s="22"/>
      <c r="M551" s="22" t="s">
        <v>1616</v>
      </c>
      <c r="N551" s="64"/>
      <c r="O551" s="22" t="s">
        <v>1617</v>
      </c>
      <c r="P551" s="22" t="s">
        <v>1382</v>
      </c>
      <c r="Q551" s="24"/>
      <c r="R551" s="64"/>
      <c r="S551" s="29"/>
      <c r="T551" s="28">
        <v>185545</v>
      </c>
      <c r="U551" s="100">
        <v>44378</v>
      </c>
      <c r="V551" s="100">
        <v>44561</v>
      </c>
      <c r="W551" s="28">
        <v>123049.32</v>
      </c>
    </row>
    <row r="552" spans="1:23" ht="150" customHeight="1">
      <c r="A552" s="64" t="s">
        <v>1796</v>
      </c>
      <c r="B552" s="29">
        <v>80204250585</v>
      </c>
      <c r="C552" s="21" t="s">
        <v>83</v>
      </c>
      <c r="D552" s="21" t="s">
        <v>1797</v>
      </c>
      <c r="E552" s="21" t="s">
        <v>51</v>
      </c>
      <c r="F552" s="70" t="s">
        <v>1311</v>
      </c>
      <c r="G552" s="66"/>
      <c r="H552" s="21" t="s">
        <v>1312</v>
      </c>
      <c r="I552" s="21" t="s">
        <v>838</v>
      </c>
      <c r="J552" s="66"/>
      <c r="K552" s="66"/>
      <c r="L552" s="66"/>
      <c r="M552" s="70" t="s">
        <v>1311</v>
      </c>
      <c r="N552" s="66"/>
      <c r="O552" s="21" t="s">
        <v>1312</v>
      </c>
      <c r="P552" s="21" t="s">
        <v>838</v>
      </c>
      <c r="Q552" s="24"/>
      <c r="R552" s="66"/>
      <c r="S552" s="66"/>
      <c r="T552" s="28">
        <v>33898.31</v>
      </c>
      <c r="U552" s="102">
        <v>44317</v>
      </c>
      <c r="V552" s="102">
        <v>45412</v>
      </c>
      <c r="W552" s="28">
        <v>4822.29</v>
      </c>
    </row>
    <row r="553" spans="1:23" ht="105" customHeight="1">
      <c r="A553" s="64" t="s">
        <v>1798</v>
      </c>
      <c r="B553" s="29">
        <v>80204250586</v>
      </c>
      <c r="C553" s="21" t="s">
        <v>83</v>
      </c>
      <c r="D553" s="21" t="s">
        <v>1799</v>
      </c>
      <c r="E553" s="21" t="s">
        <v>48</v>
      </c>
      <c r="F553" s="64"/>
      <c r="G553" s="64"/>
      <c r="H553" s="64"/>
      <c r="I553" s="64"/>
      <c r="J553" s="24" t="s">
        <v>1665</v>
      </c>
      <c r="K553" s="64"/>
      <c r="L553" s="64" t="s">
        <v>1666</v>
      </c>
      <c r="M553" s="64"/>
      <c r="N553" s="64"/>
      <c r="O553" s="64"/>
      <c r="P553" s="64"/>
      <c r="Q553" s="24" t="s">
        <v>1665</v>
      </c>
      <c r="R553" s="64"/>
      <c r="S553" s="29" t="s">
        <v>1666</v>
      </c>
      <c r="T553" s="28">
        <v>17475</v>
      </c>
      <c r="U553" s="100">
        <v>44378</v>
      </c>
      <c r="V553" s="100">
        <v>45291</v>
      </c>
      <c r="W553" s="28">
        <v>0</v>
      </c>
    </row>
    <row r="554" spans="1:23" ht="75" customHeight="1">
      <c r="A554" s="64" t="s">
        <v>1800</v>
      </c>
      <c r="B554" s="29">
        <v>80204250585</v>
      </c>
      <c r="C554" s="21" t="s">
        <v>83</v>
      </c>
      <c r="D554" s="21" t="s">
        <v>1801</v>
      </c>
      <c r="E554" s="21" t="s">
        <v>36</v>
      </c>
      <c r="F554" s="64"/>
      <c r="G554" s="64"/>
      <c r="H554" s="64"/>
      <c r="I554" s="64"/>
      <c r="J554" s="23" t="s">
        <v>1802</v>
      </c>
      <c r="K554" s="64"/>
      <c r="L554" s="21" t="s">
        <v>1803</v>
      </c>
      <c r="M554" s="64"/>
      <c r="N554" s="64"/>
      <c r="O554" s="64"/>
      <c r="P554" s="64"/>
      <c r="Q554" s="24" t="s">
        <v>1804</v>
      </c>
      <c r="R554" s="64"/>
      <c r="S554" s="64" t="s">
        <v>1805</v>
      </c>
      <c r="T554" s="28">
        <v>1244862.44</v>
      </c>
      <c r="U554" s="100">
        <v>44166</v>
      </c>
      <c r="V554" s="100">
        <v>45991</v>
      </c>
      <c r="W554" s="28">
        <v>246538.22</v>
      </c>
    </row>
    <row r="555" spans="1:23" ht="105" customHeight="1">
      <c r="A555" s="64" t="s">
        <v>1806</v>
      </c>
      <c r="B555" s="29">
        <v>80204250585</v>
      </c>
      <c r="C555" s="21" t="s">
        <v>83</v>
      </c>
      <c r="D555" s="21" t="s">
        <v>1807</v>
      </c>
      <c r="E555" s="21" t="s">
        <v>48</v>
      </c>
      <c r="F555" s="64"/>
      <c r="G555" s="64"/>
      <c r="H555" s="64"/>
      <c r="I555" s="64"/>
      <c r="J555" s="24" t="s">
        <v>1665</v>
      </c>
      <c r="K555" s="64"/>
      <c r="L555" s="64" t="s">
        <v>1666</v>
      </c>
      <c r="M555" s="64"/>
      <c r="N555" s="64"/>
      <c r="O555" s="64"/>
      <c r="P555" s="64"/>
      <c r="Q555" s="24" t="s">
        <v>1665</v>
      </c>
      <c r="R555" s="64"/>
      <c r="S555" s="29" t="s">
        <v>1666</v>
      </c>
      <c r="T555" s="28">
        <v>740</v>
      </c>
      <c r="U555" s="100">
        <v>44432</v>
      </c>
      <c r="V555" s="100">
        <v>44456</v>
      </c>
      <c r="W555" s="28">
        <v>740</v>
      </c>
    </row>
    <row r="556" spans="1:23" ht="60" customHeight="1">
      <c r="A556" s="64" t="s">
        <v>1808</v>
      </c>
      <c r="B556" s="29">
        <v>80204250585</v>
      </c>
      <c r="C556" s="21" t="s">
        <v>83</v>
      </c>
      <c r="D556" s="21" t="s">
        <v>1809</v>
      </c>
      <c r="E556" s="21" t="s">
        <v>51</v>
      </c>
      <c r="F556" s="64"/>
      <c r="G556" s="64"/>
      <c r="H556" s="64"/>
      <c r="I556" s="64"/>
      <c r="J556" s="24" t="s">
        <v>215</v>
      </c>
      <c r="K556" s="64"/>
      <c r="L556" s="64" t="s">
        <v>1195</v>
      </c>
      <c r="M556" s="64"/>
      <c r="N556" s="64"/>
      <c r="O556" s="64"/>
      <c r="P556" s="64"/>
      <c r="Q556" s="24" t="s">
        <v>215</v>
      </c>
      <c r="R556" s="64"/>
      <c r="S556" s="64" t="s">
        <v>1195</v>
      </c>
      <c r="T556" s="28">
        <v>517200</v>
      </c>
      <c r="U556" s="100">
        <v>44470</v>
      </c>
      <c r="V556" s="100">
        <v>45199</v>
      </c>
      <c r="W556" s="28">
        <v>8938.94</v>
      </c>
    </row>
    <row r="557" spans="1:23" ht="90" customHeight="1">
      <c r="A557" s="64" t="s">
        <v>1810</v>
      </c>
      <c r="B557" s="29">
        <v>80204250585</v>
      </c>
      <c r="C557" s="21" t="s">
        <v>83</v>
      </c>
      <c r="D557" s="21" t="s">
        <v>1811</v>
      </c>
      <c r="E557" s="21" t="s">
        <v>48</v>
      </c>
      <c r="F557" s="64"/>
      <c r="G557" s="64"/>
      <c r="H557" s="64"/>
      <c r="I557" s="64"/>
      <c r="J557" s="24" t="s">
        <v>1812</v>
      </c>
      <c r="K557" s="64"/>
      <c r="L557" s="64" t="s">
        <v>1813</v>
      </c>
      <c r="M557" s="64"/>
      <c r="N557" s="64"/>
      <c r="O557" s="64"/>
      <c r="P557" s="64"/>
      <c r="Q557" s="24" t="s">
        <v>1812</v>
      </c>
      <c r="R557" s="64"/>
      <c r="S557" s="64" t="s">
        <v>1813</v>
      </c>
      <c r="T557" s="28">
        <v>1159.98</v>
      </c>
      <c r="U557" s="100">
        <v>44460</v>
      </c>
      <c r="V557" s="100">
        <v>44500</v>
      </c>
      <c r="W557" s="28">
        <v>1159.98</v>
      </c>
    </row>
    <row r="558" spans="1:23" ht="60" customHeight="1">
      <c r="A558" s="64" t="s">
        <v>1814</v>
      </c>
      <c r="B558" s="29">
        <v>80204250585</v>
      </c>
      <c r="C558" s="21" t="s">
        <v>83</v>
      </c>
      <c r="D558" s="81" t="s">
        <v>1815</v>
      </c>
      <c r="E558" s="21" t="s">
        <v>48</v>
      </c>
      <c r="F558" s="64"/>
      <c r="G558" s="64"/>
      <c r="H558" s="64"/>
      <c r="I558" s="64"/>
      <c r="J558" s="24" t="s">
        <v>167</v>
      </c>
      <c r="K558" s="64"/>
      <c r="L558" s="64" t="s">
        <v>1721</v>
      </c>
      <c r="M558" s="64"/>
      <c r="N558" s="64"/>
      <c r="O558" s="64"/>
      <c r="P558" s="64"/>
      <c r="Q558" s="24" t="s">
        <v>167</v>
      </c>
      <c r="R558" s="64"/>
      <c r="S558" s="21" t="s">
        <v>1721</v>
      </c>
      <c r="T558" s="28">
        <v>4000</v>
      </c>
      <c r="U558" s="100">
        <v>44562</v>
      </c>
      <c r="V558" s="100">
        <v>44742</v>
      </c>
      <c r="W558" s="123">
        <v>0</v>
      </c>
    </row>
    <row r="559" spans="1:23" ht="45" customHeight="1">
      <c r="A559" s="64" t="s">
        <v>1816</v>
      </c>
      <c r="B559" s="29">
        <v>80204250585</v>
      </c>
      <c r="C559" s="21" t="s">
        <v>83</v>
      </c>
      <c r="D559" s="81" t="s">
        <v>1817</v>
      </c>
      <c r="E559" s="21" t="s">
        <v>48</v>
      </c>
      <c r="F559" s="64"/>
      <c r="G559" s="64"/>
      <c r="H559" s="64"/>
      <c r="I559" s="64"/>
      <c r="J559" s="24" t="s">
        <v>1754</v>
      </c>
      <c r="K559" s="64"/>
      <c r="L559" s="64" t="s">
        <v>1755</v>
      </c>
      <c r="M559" s="64"/>
      <c r="N559" s="64"/>
      <c r="O559" s="64"/>
      <c r="P559" s="64"/>
      <c r="Q559" s="24" t="s">
        <v>1754</v>
      </c>
      <c r="R559" s="64"/>
      <c r="S559" s="21" t="s">
        <v>1755</v>
      </c>
      <c r="T559" s="28">
        <v>2500</v>
      </c>
      <c r="U559" s="100">
        <v>44562</v>
      </c>
      <c r="V559" s="100">
        <v>44742</v>
      </c>
      <c r="W559" s="123">
        <v>0</v>
      </c>
    </row>
    <row r="560" spans="1:23" ht="75" customHeight="1">
      <c r="A560" s="64" t="s">
        <v>1818</v>
      </c>
      <c r="B560" s="29">
        <v>80204250585</v>
      </c>
      <c r="C560" s="21" t="s">
        <v>83</v>
      </c>
      <c r="D560" s="21" t="s">
        <v>1819</v>
      </c>
      <c r="E560" s="21" t="s">
        <v>48</v>
      </c>
      <c r="F560" s="64"/>
      <c r="G560" s="64"/>
      <c r="H560" s="64"/>
      <c r="I560" s="64"/>
      <c r="J560" s="24" t="s">
        <v>1820</v>
      </c>
      <c r="K560" s="64"/>
      <c r="L560" s="21" t="s">
        <v>1821</v>
      </c>
      <c r="M560" s="64"/>
      <c r="N560" s="64"/>
      <c r="O560" s="64"/>
      <c r="P560" s="64"/>
      <c r="Q560" s="24" t="s">
        <v>1820</v>
      </c>
      <c r="R560" s="64"/>
      <c r="S560" s="21" t="s">
        <v>1821</v>
      </c>
      <c r="T560" s="28">
        <v>1050</v>
      </c>
      <c r="U560" s="100">
        <v>44515</v>
      </c>
      <c r="V560" s="100">
        <v>44561</v>
      </c>
      <c r="W560" s="123">
        <v>0</v>
      </c>
    </row>
    <row r="561" spans="1:23" ht="75" customHeight="1">
      <c r="A561" s="64" t="s">
        <v>1822</v>
      </c>
      <c r="B561" s="29" t="s">
        <v>88</v>
      </c>
      <c r="C561" s="21" t="s">
        <v>83</v>
      </c>
      <c r="D561" s="75" t="s">
        <v>1823</v>
      </c>
      <c r="E561" s="21" t="s">
        <v>48</v>
      </c>
      <c r="F561" s="64"/>
      <c r="G561" s="64"/>
      <c r="H561" s="64"/>
      <c r="I561" s="64"/>
      <c r="J561" s="24" t="s">
        <v>1824</v>
      </c>
      <c r="K561" s="64"/>
      <c r="L561" s="64" t="s">
        <v>1825</v>
      </c>
      <c r="M561" s="64"/>
      <c r="N561" s="64"/>
      <c r="O561" s="64"/>
      <c r="P561" s="64"/>
      <c r="Q561" s="24" t="s">
        <v>1824</v>
      </c>
      <c r="R561" s="64"/>
      <c r="S561" s="64" t="s">
        <v>1825</v>
      </c>
      <c r="T561" s="28">
        <v>280.08</v>
      </c>
      <c r="U561" s="100">
        <v>44478</v>
      </c>
      <c r="V561" s="100">
        <v>44478</v>
      </c>
      <c r="W561" s="123">
        <v>0</v>
      </c>
    </row>
    <row r="562" spans="1:23" ht="75" customHeight="1">
      <c r="A562" s="64" t="s">
        <v>1826</v>
      </c>
      <c r="B562" s="29">
        <v>80204250585</v>
      </c>
      <c r="C562" s="21" t="s">
        <v>83</v>
      </c>
      <c r="D562" s="75" t="s">
        <v>1827</v>
      </c>
      <c r="E562" s="21" t="s">
        <v>48</v>
      </c>
      <c r="F562" s="64"/>
      <c r="G562" s="64"/>
      <c r="H562" s="64"/>
      <c r="I562" s="64"/>
      <c r="J562" s="24" t="s">
        <v>1828</v>
      </c>
      <c r="K562" s="64"/>
      <c r="L562" s="21" t="s">
        <v>1829</v>
      </c>
      <c r="M562" s="64"/>
      <c r="N562" s="64"/>
      <c r="O562" s="64"/>
      <c r="P562" s="64"/>
      <c r="Q562" s="24" t="s">
        <v>1828</v>
      </c>
      <c r="R562" s="64"/>
      <c r="S562" s="21" t="s">
        <v>1829</v>
      </c>
      <c r="T562" s="28">
        <v>5000</v>
      </c>
      <c r="U562" s="100">
        <v>44562</v>
      </c>
      <c r="V562" s="100">
        <v>44742</v>
      </c>
      <c r="W562" s="123">
        <v>0</v>
      </c>
    </row>
    <row r="563" spans="1:23" ht="60" customHeight="1">
      <c r="A563" s="64" t="s">
        <v>1830</v>
      </c>
      <c r="B563" s="29" t="s">
        <v>88</v>
      </c>
      <c r="C563" s="21" t="s">
        <v>83</v>
      </c>
      <c r="D563" s="21" t="s">
        <v>1831</v>
      </c>
      <c r="E563" s="21" t="s">
        <v>48</v>
      </c>
      <c r="F563" s="64"/>
      <c r="G563" s="64"/>
      <c r="H563" s="64"/>
      <c r="I563" s="64"/>
      <c r="J563" s="24" t="s">
        <v>1832</v>
      </c>
      <c r="K563" s="64"/>
      <c r="L563" s="64" t="s">
        <v>1833</v>
      </c>
      <c r="M563" s="64"/>
      <c r="N563" s="64"/>
      <c r="O563" s="64"/>
      <c r="P563" s="64"/>
      <c r="Q563" s="24" t="s">
        <v>1832</v>
      </c>
      <c r="R563" s="64"/>
      <c r="S563" s="64" t="s">
        <v>1833</v>
      </c>
      <c r="T563" s="28">
        <v>7450</v>
      </c>
      <c r="U563" s="100">
        <v>44480</v>
      </c>
      <c r="V563" s="100">
        <v>44480</v>
      </c>
      <c r="W563" s="28">
        <v>7450</v>
      </c>
    </row>
    <row r="564" spans="1:23" ht="75" customHeight="1">
      <c r="A564" s="64" t="s">
        <v>1834</v>
      </c>
      <c r="B564" s="29" t="s">
        <v>88</v>
      </c>
      <c r="C564" s="21" t="s">
        <v>83</v>
      </c>
      <c r="D564" s="21" t="s">
        <v>1835</v>
      </c>
      <c r="E564" s="21" t="s">
        <v>48</v>
      </c>
      <c r="F564" s="64"/>
      <c r="G564" s="64"/>
      <c r="H564" s="64"/>
      <c r="I564" s="64"/>
      <c r="J564" s="86" t="s">
        <v>1836</v>
      </c>
      <c r="K564" s="64"/>
      <c r="L564" s="75" t="s">
        <v>1837</v>
      </c>
      <c r="M564" s="64"/>
      <c r="N564" s="64"/>
      <c r="O564" s="64"/>
      <c r="P564" s="64"/>
      <c r="Q564" s="24" t="s">
        <v>1838</v>
      </c>
      <c r="R564" s="64"/>
      <c r="S564" s="64" t="s">
        <v>1839</v>
      </c>
      <c r="T564" s="28">
        <v>2650</v>
      </c>
      <c r="U564" s="100">
        <v>44483</v>
      </c>
      <c r="V564" s="100">
        <v>44496</v>
      </c>
      <c r="W564" s="123">
        <v>0</v>
      </c>
    </row>
    <row r="565" spans="1:23" ht="90" customHeight="1">
      <c r="A565" s="64" t="s">
        <v>1840</v>
      </c>
      <c r="B565" s="29" t="s">
        <v>88</v>
      </c>
      <c r="C565" s="21" t="s">
        <v>83</v>
      </c>
      <c r="D565" s="21" t="s">
        <v>1841</v>
      </c>
      <c r="E565" s="21" t="s">
        <v>48</v>
      </c>
      <c r="F565" s="64"/>
      <c r="G565" s="64"/>
      <c r="H565" s="64"/>
      <c r="I565" s="64"/>
      <c r="J565" s="23" t="s">
        <v>1665</v>
      </c>
      <c r="K565" s="64"/>
      <c r="L565" s="64" t="s">
        <v>1666</v>
      </c>
      <c r="M565" s="64"/>
      <c r="N565" s="64"/>
      <c r="O565" s="64"/>
      <c r="P565" s="64"/>
      <c r="Q565" s="23" t="s">
        <v>1665</v>
      </c>
      <c r="R565" s="64"/>
      <c r="S565" s="64" t="s">
        <v>1666</v>
      </c>
      <c r="T565" s="28">
        <v>502</v>
      </c>
      <c r="U565" s="100">
        <v>44480</v>
      </c>
      <c r="V565" s="100">
        <v>44530</v>
      </c>
      <c r="W565" s="28">
        <v>502</v>
      </c>
    </row>
    <row r="566" spans="1:23" ht="45" customHeight="1">
      <c r="A566" s="64" t="s">
        <v>1842</v>
      </c>
      <c r="B566" s="29" t="s">
        <v>88</v>
      </c>
      <c r="C566" s="21" t="s">
        <v>83</v>
      </c>
      <c r="D566" s="21" t="s">
        <v>1732</v>
      </c>
      <c r="E566" s="21" t="s">
        <v>39</v>
      </c>
      <c r="F566" s="64"/>
      <c r="G566" s="64"/>
      <c r="H566" s="64"/>
      <c r="I566" s="64"/>
      <c r="J566" s="24" t="s">
        <v>1843</v>
      </c>
      <c r="K566" s="64"/>
      <c r="L566" s="64" t="s">
        <v>1844</v>
      </c>
      <c r="M566" s="64"/>
      <c r="N566" s="64"/>
      <c r="O566" s="64"/>
      <c r="P566" s="64"/>
      <c r="Q566" s="24" t="s">
        <v>1843</v>
      </c>
      <c r="R566" s="64"/>
      <c r="S566" s="64" t="s">
        <v>1844</v>
      </c>
      <c r="T566" s="28">
        <v>1506.4</v>
      </c>
      <c r="U566" s="100">
        <v>44543</v>
      </c>
      <c r="V566" s="100">
        <v>44907</v>
      </c>
      <c r="W566" s="28">
        <v>1506.4</v>
      </c>
    </row>
    <row r="567" spans="1:23" ht="60" customHeight="1">
      <c r="A567" s="64" t="s">
        <v>1845</v>
      </c>
      <c r="B567" s="29" t="s">
        <v>88</v>
      </c>
      <c r="C567" s="21" t="s">
        <v>83</v>
      </c>
      <c r="D567" s="21" t="s">
        <v>1846</v>
      </c>
      <c r="E567" s="21" t="s">
        <v>51</v>
      </c>
      <c r="F567" s="64"/>
      <c r="G567" s="64"/>
      <c r="H567" s="64"/>
      <c r="I567" s="64"/>
      <c r="J567" s="24"/>
      <c r="K567" s="64"/>
      <c r="L567" s="64"/>
      <c r="M567" s="64"/>
      <c r="N567" s="64"/>
      <c r="O567" s="64"/>
      <c r="P567" s="64"/>
      <c r="Q567" s="24" t="s">
        <v>1640</v>
      </c>
      <c r="R567" s="64"/>
      <c r="S567" s="29" t="s">
        <v>1641</v>
      </c>
      <c r="T567" s="28">
        <v>1745.9</v>
      </c>
      <c r="U567" s="100">
        <v>44562</v>
      </c>
      <c r="V567" s="100">
        <v>45626</v>
      </c>
      <c r="W567" s="123">
        <v>0</v>
      </c>
    </row>
    <row r="568" spans="1:23" ht="270" customHeight="1">
      <c r="A568" s="64" t="s">
        <v>1847</v>
      </c>
      <c r="B568" s="29" t="s">
        <v>88</v>
      </c>
      <c r="C568" s="21" t="s">
        <v>83</v>
      </c>
      <c r="D568" s="21" t="s">
        <v>1848</v>
      </c>
      <c r="E568" s="21" t="s">
        <v>51</v>
      </c>
      <c r="F568" s="64"/>
      <c r="G568" s="64"/>
      <c r="H568" s="64"/>
      <c r="I568" s="64"/>
      <c r="J568" s="24"/>
      <c r="K568" s="64"/>
      <c r="L568" s="64"/>
      <c r="M568" s="70" t="s">
        <v>1849</v>
      </c>
      <c r="N568" s="66"/>
      <c r="O568" s="21" t="s">
        <v>1850</v>
      </c>
      <c r="P568" s="21" t="s">
        <v>838</v>
      </c>
      <c r="Q568" s="24"/>
      <c r="R568" s="64"/>
      <c r="S568" s="29"/>
      <c r="T568" s="28">
        <v>2963188.04</v>
      </c>
      <c r="U568" s="100">
        <v>44562</v>
      </c>
      <c r="V568" s="100">
        <v>46752</v>
      </c>
      <c r="W568" s="123">
        <v>0</v>
      </c>
    </row>
    <row r="569" spans="1:23" ht="60" customHeight="1">
      <c r="A569" s="64" t="s">
        <v>1851</v>
      </c>
      <c r="B569" s="29" t="s">
        <v>88</v>
      </c>
      <c r="C569" s="21" t="s">
        <v>83</v>
      </c>
      <c r="D569" s="21" t="s">
        <v>1852</v>
      </c>
      <c r="E569" s="21" t="s">
        <v>48</v>
      </c>
      <c r="F569" s="64"/>
      <c r="G569" s="64"/>
      <c r="H569" s="64"/>
      <c r="I569" s="64"/>
      <c r="J569" s="24" t="s">
        <v>1853</v>
      </c>
      <c r="K569" s="64"/>
      <c r="L569" s="64" t="s">
        <v>1854</v>
      </c>
      <c r="M569" s="64"/>
      <c r="N569" s="64"/>
      <c r="O569" s="64"/>
      <c r="P569" s="64"/>
      <c r="Q569" s="24" t="s">
        <v>1853</v>
      </c>
      <c r="R569" s="64"/>
      <c r="S569" s="64" t="s">
        <v>1854</v>
      </c>
      <c r="T569" s="28">
        <v>4554</v>
      </c>
      <c r="U569" s="100">
        <v>44489</v>
      </c>
      <c r="V569" s="100">
        <v>44530</v>
      </c>
      <c r="W569" s="28">
        <v>4554</v>
      </c>
    </row>
    <row r="570" spans="1:23" ht="90" customHeight="1">
      <c r="A570" s="64" t="s">
        <v>1855</v>
      </c>
      <c r="B570" s="29" t="s">
        <v>88</v>
      </c>
      <c r="C570" s="21" t="s">
        <v>83</v>
      </c>
      <c r="D570" s="21" t="s">
        <v>1856</v>
      </c>
      <c r="E570" s="21" t="s">
        <v>48</v>
      </c>
      <c r="F570" s="64"/>
      <c r="G570" s="64"/>
      <c r="H570" s="64"/>
      <c r="I570" s="64"/>
      <c r="J570" s="24" t="s">
        <v>1857</v>
      </c>
      <c r="K570" s="64"/>
      <c r="L570" s="64" t="s">
        <v>1858</v>
      </c>
      <c r="M570" s="64"/>
      <c r="N570" s="64"/>
      <c r="O570" s="64"/>
      <c r="P570" s="64"/>
      <c r="Q570" s="24" t="s">
        <v>1857</v>
      </c>
      <c r="R570" s="64"/>
      <c r="S570" s="64" t="s">
        <v>1858</v>
      </c>
      <c r="T570" s="28">
        <v>1180</v>
      </c>
      <c r="U570" s="100">
        <v>44498</v>
      </c>
      <c r="V570" s="100">
        <v>44561</v>
      </c>
      <c r="W570" s="123">
        <v>0</v>
      </c>
    </row>
    <row r="571" spans="1:23" ht="45" customHeight="1">
      <c r="A571" s="64" t="s">
        <v>1859</v>
      </c>
      <c r="B571" s="29" t="s">
        <v>88</v>
      </c>
      <c r="C571" s="21" t="s">
        <v>83</v>
      </c>
      <c r="D571" s="21" t="s">
        <v>1860</v>
      </c>
      <c r="E571" s="21" t="s">
        <v>48</v>
      </c>
      <c r="F571" s="64"/>
      <c r="G571" s="64"/>
      <c r="H571" s="64"/>
      <c r="I571" s="64"/>
      <c r="J571" s="24" t="s">
        <v>1861</v>
      </c>
      <c r="K571" s="64"/>
      <c r="L571" s="64" t="s">
        <v>1862</v>
      </c>
      <c r="M571" s="64"/>
      <c r="N571" s="64"/>
      <c r="O571" s="64"/>
      <c r="P571" s="64"/>
      <c r="Q571" s="24" t="s">
        <v>1861</v>
      </c>
      <c r="R571" s="64"/>
      <c r="S571" s="64" t="s">
        <v>1862</v>
      </c>
      <c r="T571" s="28">
        <v>900</v>
      </c>
      <c r="U571" s="100">
        <v>44509</v>
      </c>
      <c r="V571" s="100">
        <v>44592</v>
      </c>
      <c r="W571" s="123">
        <v>0</v>
      </c>
    </row>
    <row r="572" spans="1:23" ht="45" customHeight="1">
      <c r="A572" s="64" t="s">
        <v>1863</v>
      </c>
      <c r="B572" s="29" t="s">
        <v>88</v>
      </c>
      <c r="C572" s="21" t="s">
        <v>83</v>
      </c>
      <c r="D572" s="21" t="s">
        <v>1864</v>
      </c>
      <c r="E572" s="21" t="s">
        <v>48</v>
      </c>
      <c r="F572" s="64"/>
      <c r="G572" s="64"/>
      <c r="H572" s="64"/>
      <c r="I572" s="64"/>
      <c r="J572" s="24" t="s">
        <v>1865</v>
      </c>
      <c r="K572" s="64"/>
      <c r="L572" s="64" t="s">
        <v>1866</v>
      </c>
      <c r="M572" s="64"/>
      <c r="N572" s="64"/>
      <c r="O572" s="64"/>
      <c r="P572" s="64"/>
      <c r="Q572" s="24" t="s">
        <v>1865</v>
      </c>
      <c r="R572" s="64"/>
      <c r="S572" s="64" t="s">
        <v>1866</v>
      </c>
      <c r="T572" s="28">
        <v>7500</v>
      </c>
      <c r="U572" s="100">
        <v>44562</v>
      </c>
      <c r="V572" s="100">
        <v>45657</v>
      </c>
      <c r="W572" s="123">
        <v>0</v>
      </c>
    </row>
    <row r="573" spans="1:23" ht="60" customHeight="1">
      <c r="A573" s="64" t="s">
        <v>1867</v>
      </c>
      <c r="B573" s="29" t="s">
        <v>88</v>
      </c>
      <c r="C573" s="21" t="s">
        <v>83</v>
      </c>
      <c r="D573" s="21" t="s">
        <v>1868</v>
      </c>
      <c r="E573" s="21" t="s">
        <v>48</v>
      </c>
      <c r="F573" s="64"/>
      <c r="G573" s="64"/>
      <c r="H573" s="64"/>
      <c r="I573" s="64"/>
      <c r="J573" s="24" t="s">
        <v>1869</v>
      </c>
      <c r="K573" s="64"/>
      <c r="L573" s="21" t="s">
        <v>1870</v>
      </c>
      <c r="M573" s="64"/>
      <c r="N573" s="64"/>
      <c r="O573" s="64"/>
      <c r="P573" s="64"/>
      <c r="Q573" s="24" t="s">
        <v>1869</v>
      </c>
      <c r="R573" s="64"/>
      <c r="S573" s="64" t="s">
        <v>1870</v>
      </c>
      <c r="T573" s="28">
        <v>750</v>
      </c>
      <c r="U573" s="100">
        <v>44524</v>
      </c>
      <c r="V573" s="100">
        <v>44561</v>
      </c>
      <c r="W573" s="123">
        <v>0</v>
      </c>
    </row>
    <row r="574" spans="1:23" ht="60" customHeight="1">
      <c r="A574" s="64" t="s">
        <v>1871</v>
      </c>
      <c r="B574" s="29" t="s">
        <v>88</v>
      </c>
      <c r="C574" s="21" t="s">
        <v>83</v>
      </c>
      <c r="D574" s="21" t="s">
        <v>1872</v>
      </c>
      <c r="E574" s="21" t="s">
        <v>48</v>
      </c>
      <c r="F574" s="64"/>
      <c r="G574" s="64"/>
      <c r="H574" s="64"/>
      <c r="I574" s="64"/>
      <c r="J574" s="24" t="s">
        <v>1873</v>
      </c>
      <c r="K574" s="64"/>
      <c r="L574" s="64" t="s">
        <v>1874</v>
      </c>
      <c r="M574" s="64"/>
      <c r="N574" s="64"/>
      <c r="O574" s="64"/>
      <c r="P574" s="64"/>
      <c r="Q574" s="24" t="s">
        <v>1873</v>
      </c>
      <c r="R574" s="64"/>
      <c r="S574" s="64" t="s">
        <v>1874</v>
      </c>
      <c r="T574" s="28">
        <v>298</v>
      </c>
      <c r="U574" s="100">
        <v>44544</v>
      </c>
      <c r="V574" s="100">
        <v>44592</v>
      </c>
      <c r="W574" s="123">
        <v>0</v>
      </c>
    </row>
    <row r="575" spans="1:23" ht="60" customHeight="1">
      <c r="A575" s="64" t="s">
        <v>1875</v>
      </c>
      <c r="B575" s="29" t="s">
        <v>88</v>
      </c>
      <c r="C575" s="21" t="s">
        <v>83</v>
      </c>
      <c r="D575" s="21" t="s">
        <v>1876</v>
      </c>
      <c r="E575" s="21" t="s">
        <v>51</v>
      </c>
      <c r="F575" s="64"/>
      <c r="G575" s="64"/>
      <c r="H575" s="64"/>
      <c r="I575" s="64"/>
      <c r="J575" s="23" t="s">
        <v>1877</v>
      </c>
      <c r="K575" s="64"/>
      <c r="L575" s="21" t="s">
        <v>1878</v>
      </c>
      <c r="M575" s="64"/>
      <c r="N575" s="64"/>
      <c r="O575" s="64"/>
      <c r="P575" s="64"/>
      <c r="Q575" s="24" t="s">
        <v>1877</v>
      </c>
      <c r="R575" s="64"/>
      <c r="S575" s="29" t="s">
        <v>1878</v>
      </c>
      <c r="T575" s="28">
        <v>2769270</v>
      </c>
      <c r="U575" s="100">
        <v>44652</v>
      </c>
      <c r="V575" s="100">
        <v>46022</v>
      </c>
      <c r="W575" s="123">
        <v>0</v>
      </c>
    </row>
    <row r="576" spans="1:23" ht="45" customHeight="1">
      <c r="A576" s="96" t="s">
        <v>1880</v>
      </c>
      <c r="B576" s="64" t="s">
        <v>88</v>
      </c>
      <c r="C576" s="21" t="s">
        <v>1881</v>
      </c>
      <c r="D576" s="21" t="s">
        <v>346</v>
      </c>
      <c r="E576" s="21" t="s">
        <v>48</v>
      </c>
      <c r="F576" s="21"/>
      <c r="G576" s="66"/>
      <c r="H576" s="64"/>
      <c r="I576" s="64"/>
      <c r="J576" s="23" t="s">
        <v>1882</v>
      </c>
      <c r="K576" s="64"/>
      <c r="L576" s="21" t="s">
        <v>1883</v>
      </c>
      <c r="M576" s="64"/>
      <c r="N576" s="66"/>
      <c r="O576" s="64"/>
      <c r="P576" s="64"/>
      <c r="Q576" s="24" t="s">
        <v>1882</v>
      </c>
      <c r="R576" s="64"/>
      <c r="S576" s="29" t="s">
        <v>1883</v>
      </c>
      <c r="T576" s="28">
        <v>798</v>
      </c>
      <c r="U576" s="27">
        <v>43438</v>
      </c>
      <c r="V576" s="27">
        <v>43860</v>
      </c>
      <c r="W576" s="95">
        <v>717.2</v>
      </c>
    </row>
    <row r="577" spans="1:23" ht="45" customHeight="1">
      <c r="A577" s="96" t="s">
        <v>1884</v>
      </c>
      <c r="B577" s="64" t="s">
        <v>88</v>
      </c>
      <c r="C577" s="21" t="s">
        <v>1881</v>
      </c>
      <c r="D577" s="21" t="s">
        <v>1885</v>
      </c>
      <c r="E577" s="21" t="s">
        <v>48</v>
      </c>
      <c r="F577" s="21"/>
      <c r="G577" s="66"/>
      <c r="H577" s="64"/>
      <c r="I577" s="64"/>
      <c r="J577" s="23" t="s">
        <v>665</v>
      </c>
      <c r="K577" s="64"/>
      <c r="L577" s="21" t="s">
        <v>169</v>
      </c>
      <c r="M577" s="64"/>
      <c r="N577" s="66"/>
      <c r="O577" s="64"/>
      <c r="P577" s="64"/>
      <c r="Q577" s="24" t="s">
        <v>665</v>
      </c>
      <c r="R577" s="64"/>
      <c r="S577" s="29" t="s">
        <v>169</v>
      </c>
      <c r="T577" s="28">
        <v>875.11</v>
      </c>
      <c r="U577" s="27">
        <v>43445</v>
      </c>
      <c r="V577" s="27">
        <v>43445</v>
      </c>
      <c r="W577" s="95">
        <v>636.72</v>
      </c>
    </row>
    <row r="578" spans="1:23" ht="45" customHeight="1">
      <c r="A578" s="96" t="s">
        <v>1886</v>
      </c>
      <c r="B578" s="64" t="s">
        <v>88</v>
      </c>
      <c r="C578" s="21" t="s">
        <v>1881</v>
      </c>
      <c r="D578" s="21" t="s">
        <v>346</v>
      </c>
      <c r="E578" s="21" t="s">
        <v>48</v>
      </c>
      <c r="F578" s="21"/>
      <c r="G578" s="66"/>
      <c r="H578" s="64"/>
      <c r="I578" s="64"/>
      <c r="J578" s="23" t="s">
        <v>347</v>
      </c>
      <c r="K578" s="64"/>
      <c r="L578" s="21" t="s">
        <v>348</v>
      </c>
      <c r="M578" s="64"/>
      <c r="N578" s="66"/>
      <c r="O578" s="64"/>
      <c r="P578" s="64"/>
      <c r="Q578" s="24" t="s">
        <v>347</v>
      </c>
      <c r="R578" s="64"/>
      <c r="S578" s="29" t="s">
        <v>348</v>
      </c>
      <c r="T578" s="28">
        <v>796.8</v>
      </c>
      <c r="U578" s="27">
        <v>43445</v>
      </c>
      <c r="V578" s="27">
        <v>43493</v>
      </c>
      <c r="W578" s="95">
        <v>768.8</v>
      </c>
    </row>
    <row r="579" spans="1:23" ht="45" customHeight="1">
      <c r="A579" s="96" t="s">
        <v>1887</v>
      </c>
      <c r="B579" s="64" t="s">
        <v>88</v>
      </c>
      <c r="C579" s="21" t="s">
        <v>1881</v>
      </c>
      <c r="D579" s="21" t="s">
        <v>1885</v>
      </c>
      <c r="E579" s="21" t="s">
        <v>48</v>
      </c>
      <c r="F579" s="21"/>
      <c r="G579" s="66"/>
      <c r="H579" s="64"/>
      <c r="I579" s="64"/>
      <c r="J579" s="23" t="s">
        <v>665</v>
      </c>
      <c r="K579" s="64"/>
      <c r="L579" s="21" t="s">
        <v>169</v>
      </c>
      <c r="M579" s="64"/>
      <c r="N579" s="66"/>
      <c r="O579" s="64"/>
      <c r="P579" s="64"/>
      <c r="Q579" s="24" t="s">
        <v>665</v>
      </c>
      <c r="R579" s="64"/>
      <c r="S579" s="29" t="s">
        <v>169</v>
      </c>
      <c r="T579" s="28">
        <v>463.54</v>
      </c>
      <c r="U579" s="27">
        <v>43609</v>
      </c>
      <c r="V579" s="27">
        <v>43609</v>
      </c>
      <c r="W579" s="95">
        <v>426.66</v>
      </c>
    </row>
    <row r="580" spans="1:23" ht="45" customHeight="1">
      <c r="A580" s="96" t="s">
        <v>1888</v>
      </c>
      <c r="B580" s="64" t="s">
        <v>88</v>
      </c>
      <c r="C580" s="21" t="s">
        <v>1881</v>
      </c>
      <c r="D580" s="21" t="s">
        <v>1889</v>
      </c>
      <c r="E580" s="21" t="s">
        <v>48</v>
      </c>
      <c r="F580" s="22"/>
      <c r="G580" s="66"/>
      <c r="H580" s="66"/>
      <c r="I580" s="66"/>
      <c r="J580" s="23" t="s">
        <v>1890</v>
      </c>
      <c r="K580" s="64"/>
      <c r="L580" s="21" t="s">
        <v>1891</v>
      </c>
      <c r="M580" s="66"/>
      <c r="N580" s="66"/>
      <c r="O580" s="66"/>
      <c r="P580" s="66"/>
      <c r="Q580" s="23" t="s">
        <v>1890</v>
      </c>
      <c r="R580" s="64"/>
      <c r="S580" s="21" t="s">
        <v>1891</v>
      </c>
      <c r="T580" s="28">
        <v>15000</v>
      </c>
      <c r="U580" s="27">
        <v>43709</v>
      </c>
      <c r="V580" s="27">
        <v>44834</v>
      </c>
      <c r="W580" s="95">
        <v>15000</v>
      </c>
    </row>
    <row r="581" spans="1:23" ht="60" customHeight="1">
      <c r="A581" s="96" t="s">
        <v>1892</v>
      </c>
      <c r="B581" s="64" t="s">
        <v>88</v>
      </c>
      <c r="C581" s="21" t="s">
        <v>1881</v>
      </c>
      <c r="D581" s="21" t="s">
        <v>1893</v>
      </c>
      <c r="E581" s="21" t="s">
        <v>48</v>
      </c>
      <c r="F581" s="22"/>
      <c r="G581" s="66"/>
      <c r="H581" s="66"/>
      <c r="I581" s="66"/>
      <c r="J581" s="23">
        <v>97769690583</v>
      </c>
      <c r="K581" s="64"/>
      <c r="L581" s="21" t="s">
        <v>1894</v>
      </c>
      <c r="M581" s="66"/>
      <c r="N581" s="66"/>
      <c r="O581" s="66"/>
      <c r="P581" s="66"/>
      <c r="Q581" s="23">
        <v>97769690583</v>
      </c>
      <c r="R581" s="64"/>
      <c r="S581" s="21" t="s">
        <v>1894</v>
      </c>
      <c r="T581" s="28">
        <v>12000</v>
      </c>
      <c r="U581" s="27">
        <v>43678</v>
      </c>
      <c r="V581" s="27">
        <v>44773</v>
      </c>
      <c r="W581" s="95">
        <v>12000</v>
      </c>
    </row>
    <row r="582" spans="1:23" ht="165" customHeight="1">
      <c r="A582" s="96" t="s">
        <v>1895</v>
      </c>
      <c r="B582" s="64" t="s">
        <v>88</v>
      </c>
      <c r="C582" s="21" t="s">
        <v>1881</v>
      </c>
      <c r="D582" s="21" t="s">
        <v>1896</v>
      </c>
      <c r="E582" s="21" t="s">
        <v>48</v>
      </c>
      <c r="F582" s="22"/>
      <c r="G582" s="66"/>
      <c r="H582" s="66"/>
      <c r="I582" s="66"/>
      <c r="J582" s="23">
        <v>10209790152</v>
      </c>
      <c r="K582" s="64"/>
      <c r="L582" s="21" t="s">
        <v>1897</v>
      </c>
      <c r="M582" s="66"/>
      <c r="N582" s="66"/>
      <c r="O582" s="66"/>
      <c r="P582" s="66"/>
      <c r="Q582" s="23">
        <v>10209790152</v>
      </c>
      <c r="R582" s="64"/>
      <c r="S582" s="21" t="s">
        <v>1897</v>
      </c>
      <c r="T582" s="28">
        <v>4950</v>
      </c>
      <c r="U582" s="27">
        <v>43678</v>
      </c>
      <c r="V582" s="27">
        <v>44773</v>
      </c>
      <c r="W582" s="95">
        <v>4950</v>
      </c>
    </row>
    <row r="583" spans="1:23" ht="75" customHeight="1">
      <c r="A583" s="66" t="s">
        <v>1898</v>
      </c>
      <c r="B583" s="64" t="s">
        <v>88</v>
      </c>
      <c r="C583" s="21" t="s">
        <v>1881</v>
      </c>
      <c r="D583" s="21" t="s">
        <v>1899</v>
      </c>
      <c r="E583" s="21" t="s">
        <v>48</v>
      </c>
      <c r="F583" s="22"/>
      <c r="G583" s="66"/>
      <c r="H583" s="66"/>
      <c r="I583" s="66"/>
      <c r="J583" s="23" t="s">
        <v>1890</v>
      </c>
      <c r="K583" s="64"/>
      <c r="L583" s="21" t="s">
        <v>1900</v>
      </c>
      <c r="M583" s="66"/>
      <c r="N583" s="66"/>
      <c r="O583" s="66"/>
      <c r="P583" s="66"/>
      <c r="Q583" s="23" t="s">
        <v>1890</v>
      </c>
      <c r="R583" s="64"/>
      <c r="S583" s="21" t="s">
        <v>1900</v>
      </c>
      <c r="T583" s="28">
        <v>2100</v>
      </c>
      <c r="U583" s="27">
        <v>43770</v>
      </c>
      <c r="V583" s="27">
        <v>44895</v>
      </c>
      <c r="W583" s="95">
        <v>2100</v>
      </c>
    </row>
    <row r="584" spans="1:23" ht="105" customHeight="1">
      <c r="A584" s="66" t="s">
        <v>1901</v>
      </c>
      <c r="B584" s="64" t="s">
        <v>88</v>
      </c>
      <c r="C584" s="21" t="s">
        <v>1881</v>
      </c>
      <c r="D584" s="21" t="s">
        <v>1902</v>
      </c>
      <c r="E584" s="21" t="s">
        <v>48</v>
      </c>
      <c r="F584" s="21"/>
      <c r="G584" s="66"/>
      <c r="H584" s="64"/>
      <c r="I584" s="64"/>
      <c r="J584" s="23" t="s">
        <v>1903</v>
      </c>
      <c r="K584" s="64"/>
      <c r="L584" s="21" t="s">
        <v>1904</v>
      </c>
      <c r="M584" s="64"/>
      <c r="N584" s="66"/>
      <c r="O584" s="64"/>
      <c r="P584" s="64"/>
      <c r="Q584" s="24" t="s">
        <v>1903</v>
      </c>
      <c r="R584" s="64"/>
      <c r="S584" s="21" t="s">
        <v>1904</v>
      </c>
      <c r="T584" s="28">
        <v>4000</v>
      </c>
      <c r="U584" s="27">
        <v>43754</v>
      </c>
      <c r="V584" s="27">
        <v>44196</v>
      </c>
      <c r="W584" s="95">
        <v>4000</v>
      </c>
    </row>
    <row r="585" spans="1:23" ht="60" customHeight="1">
      <c r="A585" s="66" t="s">
        <v>1905</v>
      </c>
      <c r="B585" s="64" t="s">
        <v>88</v>
      </c>
      <c r="C585" s="21" t="s">
        <v>1881</v>
      </c>
      <c r="D585" s="21" t="s">
        <v>1906</v>
      </c>
      <c r="E585" s="21" t="s">
        <v>48</v>
      </c>
      <c r="F585" s="21"/>
      <c r="G585" s="66"/>
      <c r="H585" s="64"/>
      <c r="I585" s="64"/>
      <c r="J585" s="23" t="s">
        <v>1907</v>
      </c>
      <c r="K585" s="64"/>
      <c r="L585" s="21" t="s">
        <v>1908</v>
      </c>
      <c r="M585" s="64"/>
      <c r="N585" s="66"/>
      <c r="O585" s="64"/>
      <c r="P585" s="64"/>
      <c r="Q585" s="24" t="s">
        <v>1907</v>
      </c>
      <c r="R585" s="64"/>
      <c r="S585" s="21" t="s">
        <v>1908</v>
      </c>
      <c r="T585" s="28">
        <v>3840</v>
      </c>
      <c r="U585" s="27">
        <v>43754</v>
      </c>
      <c r="V585" s="27">
        <v>44926</v>
      </c>
      <c r="W585" s="95">
        <v>2560</v>
      </c>
    </row>
    <row r="586" spans="1:23" ht="45" customHeight="1">
      <c r="A586" s="64" t="s">
        <v>1909</v>
      </c>
      <c r="B586" s="64" t="s">
        <v>88</v>
      </c>
      <c r="C586" s="21" t="s">
        <v>1881</v>
      </c>
      <c r="D586" s="21" t="s">
        <v>346</v>
      </c>
      <c r="E586" s="21" t="s">
        <v>48</v>
      </c>
      <c r="F586" s="64"/>
      <c r="G586" s="64"/>
      <c r="H586" s="64"/>
      <c r="I586" s="64"/>
      <c r="J586" s="23" t="s">
        <v>1910</v>
      </c>
      <c r="K586" s="21"/>
      <c r="L586" s="21" t="s">
        <v>1911</v>
      </c>
      <c r="M586" s="64"/>
      <c r="N586" s="64"/>
      <c r="O586" s="64"/>
      <c r="P586" s="64"/>
      <c r="Q586" s="23" t="s">
        <v>1910</v>
      </c>
      <c r="R586" s="21"/>
      <c r="S586" s="21" t="s">
        <v>1911</v>
      </c>
      <c r="T586" s="28">
        <v>4510.1099999999997</v>
      </c>
      <c r="U586" s="27">
        <v>43889</v>
      </c>
      <c r="V586" s="27">
        <v>43889</v>
      </c>
      <c r="W586" s="28">
        <v>4404.72</v>
      </c>
    </row>
    <row r="587" spans="1:23" ht="60" customHeight="1">
      <c r="A587" s="64" t="s">
        <v>1912</v>
      </c>
      <c r="B587" s="64" t="s">
        <v>88</v>
      </c>
      <c r="C587" s="21" t="s">
        <v>1881</v>
      </c>
      <c r="D587" s="21" t="s">
        <v>1913</v>
      </c>
      <c r="E587" s="21" t="s">
        <v>48</v>
      </c>
      <c r="F587" s="64"/>
      <c r="G587" s="64"/>
      <c r="H587" s="64"/>
      <c r="I587" s="64"/>
      <c r="J587" s="23" t="s">
        <v>1914</v>
      </c>
      <c r="K587" s="64"/>
      <c r="L587" s="21" t="s">
        <v>1915</v>
      </c>
      <c r="M587" s="64"/>
      <c r="N587" s="64"/>
      <c r="O587" s="64"/>
      <c r="P587" s="64"/>
      <c r="Q587" s="23" t="s">
        <v>1914</v>
      </c>
      <c r="R587" s="64"/>
      <c r="S587" s="21" t="s">
        <v>1915</v>
      </c>
      <c r="T587" s="28">
        <v>4000</v>
      </c>
      <c r="U587" s="27">
        <v>43889</v>
      </c>
      <c r="V587" s="27">
        <v>44255</v>
      </c>
      <c r="W587" s="28">
        <v>4000</v>
      </c>
    </row>
    <row r="588" spans="1:23" ht="45" customHeight="1">
      <c r="A588" s="64" t="s">
        <v>1916</v>
      </c>
      <c r="B588" s="64" t="s">
        <v>88</v>
      </c>
      <c r="C588" s="21" t="s">
        <v>1881</v>
      </c>
      <c r="D588" s="21" t="s">
        <v>1917</v>
      </c>
      <c r="E588" s="21" t="s">
        <v>48</v>
      </c>
      <c r="F588" s="64"/>
      <c r="G588" s="64"/>
      <c r="H588" s="64"/>
      <c r="I588" s="64"/>
      <c r="J588" s="23" t="s">
        <v>665</v>
      </c>
      <c r="K588" s="64"/>
      <c r="L588" s="21" t="s">
        <v>169</v>
      </c>
      <c r="M588" s="64"/>
      <c r="N588" s="66"/>
      <c r="O588" s="64"/>
      <c r="P588" s="64"/>
      <c r="Q588" s="24" t="s">
        <v>665</v>
      </c>
      <c r="R588" s="64"/>
      <c r="S588" s="29" t="s">
        <v>169</v>
      </c>
      <c r="T588" s="28">
        <v>4392</v>
      </c>
      <c r="U588" s="27">
        <v>43955</v>
      </c>
      <c r="V588" s="27">
        <v>44328</v>
      </c>
      <c r="W588" s="28">
        <v>4392</v>
      </c>
    </row>
    <row r="589" spans="1:23" ht="60" customHeight="1">
      <c r="A589" s="64" t="s">
        <v>1918</v>
      </c>
      <c r="B589" s="64" t="s">
        <v>88</v>
      </c>
      <c r="C589" s="21" t="s">
        <v>1881</v>
      </c>
      <c r="D589" s="21" t="s">
        <v>1919</v>
      </c>
      <c r="E589" s="21" t="s">
        <v>48</v>
      </c>
      <c r="F589" s="64"/>
      <c r="G589" s="64"/>
      <c r="H589" s="64"/>
      <c r="I589" s="64"/>
      <c r="J589" s="23" t="s">
        <v>665</v>
      </c>
      <c r="K589" s="64"/>
      <c r="L589" s="21" t="s">
        <v>169</v>
      </c>
      <c r="M589" s="64"/>
      <c r="N589" s="66"/>
      <c r="O589" s="64"/>
      <c r="P589" s="64"/>
      <c r="Q589" s="24" t="s">
        <v>665</v>
      </c>
      <c r="R589" s="64"/>
      <c r="S589" s="29" t="s">
        <v>169</v>
      </c>
      <c r="T589" s="28">
        <v>693</v>
      </c>
      <c r="U589" s="27">
        <v>43955</v>
      </c>
      <c r="V589" s="27">
        <v>44328</v>
      </c>
      <c r="W589" s="28">
        <v>693</v>
      </c>
    </row>
    <row r="590" spans="1:23" ht="45" customHeight="1">
      <c r="A590" s="64" t="s">
        <v>1920</v>
      </c>
      <c r="B590" s="64" t="s">
        <v>88</v>
      </c>
      <c r="C590" s="21" t="s">
        <v>1881</v>
      </c>
      <c r="D590" s="21" t="s">
        <v>346</v>
      </c>
      <c r="E590" s="21" t="s">
        <v>48</v>
      </c>
      <c r="F590" s="64"/>
      <c r="G590" s="64"/>
      <c r="H590" s="64"/>
      <c r="I590" s="64"/>
      <c r="J590" s="23" t="s">
        <v>1882</v>
      </c>
      <c r="K590" s="64"/>
      <c r="L590" s="21" t="s">
        <v>1883</v>
      </c>
      <c r="M590" s="64"/>
      <c r="N590" s="66"/>
      <c r="O590" s="64"/>
      <c r="P590" s="64"/>
      <c r="Q590" s="24" t="s">
        <v>1882</v>
      </c>
      <c r="R590" s="64"/>
      <c r="S590" s="21" t="s">
        <v>1883</v>
      </c>
      <c r="T590" s="28">
        <v>3286.19</v>
      </c>
      <c r="U590" s="27">
        <v>43853</v>
      </c>
      <c r="V590" s="27">
        <v>43853</v>
      </c>
      <c r="W590" s="28">
        <v>2593.2800000000002</v>
      </c>
    </row>
    <row r="591" spans="1:23" ht="45" customHeight="1">
      <c r="A591" s="64" t="s">
        <v>1921</v>
      </c>
      <c r="B591" s="64" t="s">
        <v>88</v>
      </c>
      <c r="C591" s="21" t="s">
        <v>1881</v>
      </c>
      <c r="D591" s="21" t="s">
        <v>1922</v>
      </c>
      <c r="E591" s="21" t="s">
        <v>48</v>
      </c>
      <c r="F591" s="64"/>
      <c r="G591" s="64"/>
      <c r="H591" s="64"/>
      <c r="I591" s="64"/>
      <c r="J591" s="24" t="s">
        <v>1923</v>
      </c>
      <c r="K591" s="64"/>
      <c r="L591" s="64" t="s">
        <v>1924</v>
      </c>
      <c r="M591" s="64"/>
      <c r="N591" s="64"/>
      <c r="O591" s="64"/>
      <c r="P591" s="64"/>
      <c r="Q591" s="24" t="s">
        <v>1923</v>
      </c>
      <c r="R591" s="64"/>
      <c r="S591" s="64" t="s">
        <v>1924</v>
      </c>
      <c r="T591" s="28">
        <v>150</v>
      </c>
      <c r="U591" s="27">
        <v>43873</v>
      </c>
      <c r="V591" s="27">
        <v>43873</v>
      </c>
      <c r="W591" s="28">
        <v>150</v>
      </c>
    </row>
    <row r="592" spans="1:23" ht="60" customHeight="1">
      <c r="A592" s="64" t="s">
        <v>1925</v>
      </c>
      <c r="B592" s="64" t="s">
        <v>88</v>
      </c>
      <c r="C592" s="21" t="s">
        <v>1881</v>
      </c>
      <c r="D592" s="21" t="s">
        <v>1926</v>
      </c>
      <c r="E592" s="21" t="s">
        <v>48</v>
      </c>
      <c r="F592" s="64"/>
      <c r="G592" s="64"/>
      <c r="H592" s="64"/>
      <c r="I592" s="64"/>
      <c r="J592" s="23" t="s">
        <v>665</v>
      </c>
      <c r="K592" s="64"/>
      <c r="L592" s="21" t="s">
        <v>169</v>
      </c>
      <c r="M592" s="64"/>
      <c r="N592" s="66"/>
      <c r="O592" s="64"/>
      <c r="P592" s="64"/>
      <c r="Q592" s="24" t="s">
        <v>665</v>
      </c>
      <c r="R592" s="64"/>
      <c r="S592" s="29" t="s">
        <v>169</v>
      </c>
      <c r="T592" s="28">
        <v>990</v>
      </c>
      <c r="U592" s="27">
        <v>43963</v>
      </c>
      <c r="V592" s="27">
        <v>44327</v>
      </c>
      <c r="W592" s="28">
        <v>990</v>
      </c>
    </row>
    <row r="593" spans="1:23" ht="45" customHeight="1">
      <c r="A593" s="64" t="s">
        <v>1927</v>
      </c>
      <c r="B593" s="64" t="s">
        <v>88</v>
      </c>
      <c r="C593" s="21" t="s">
        <v>1881</v>
      </c>
      <c r="D593" s="21" t="s">
        <v>1928</v>
      </c>
      <c r="E593" s="21" t="s">
        <v>48</v>
      </c>
      <c r="F593" s="64"/>
      <c r="G593" s="64"/>
      <c r="H593" s="64"/>
      <c r="I593" s="64"/>
      <c r="J593" s="23" t="s">
        <v>665</v>
      </c>
      <c r="K593" s="64" t="s">
        <v>1300</v>
      </c>
      <c r="L593" s="21" t="s">
        <v>169</v>
      </c>
      <c r="M593" s="64"/>
      <c r="N593" s="66"/>
      <c r="O593" s="64"/>
      <c r="P593" s="64"/>
      <c r="Q593" s="24" t="s">
        <v>665</v>
      </c>
      <c r="R593" s="64"/>
      <c r="S593" s="29" t="s">
        <v>169</v>
      </c>
      <c r="T593" s="28">
        <v>1050</v>
      </c>
      <c r="U593" s="27">
        <v>43963</v>
      </c>
      <c r="V593" s="27">
        <v>44327</v>
      </c>
      <c r="W593" s="28">
        <v>1050</v>
      </c>
    </row>
    <row r="594" spans="1:23" ht="90" customHeight="1">
      <c r="A594" s="64" t="s">
        <v>1929</v>
      </c>
      <c r="B594" s="64" t="s">
        <v>88</v>
      </c>
      <c r="C594" s="21" t="s">
        <v>1881</v>
      </c>
      <c r="D594" s="21" t="s">
        <v>1930</v>
      </c>
      <c r="E594" s="21" t="s">
        <v>48</v>
      </c>
      <c r="F594" s="64"/>
      <c r="G594" s="64"/>
      <c r="H594" s="64"/>
      <c r="I594" s="64"/>
      <c r="J594" s="23" t="s">
        <v>1931</v>
      </c>
      <c r="K594" s="64"/>
      <c r="L594" s="21" t="s">
        <v>1897</v>
      </c>
      <c r="M594" s="64"/>
      <c r="N594" s="64"/>
      <c r="O594" s="64"/>
      <c r="P594" s="64"/>
      <c r="Q594" s="23" t="s">
        <v>1931</v>
      </c>
      <c r="R594" s="64"/>
      <c r="S594" s="21" t="s">
        <v>1897</v>
      </c>
      <c r="T594" s="28">
        <v>39525</v>
      </c>
      <c r="U594" s="71">
        <v>44044</v>
      </c>
      <c r="V594" s="71">
        <v>45138</v>
      </c>
      <c r="W594" s="28">
        <v>26350</v>
      </c>
    </row>
    <row r="595" spans="1:23" ht="60" customHeight="1">
      <c r="A595" s="64" t="s">
        <v>1932</v>
      </c>
      <c r="B595" s="64" t="s">
        <v>88</v>
      </c>
      <c r="C595" s="21" t="s">
        <v>1881</v>
      </c>
      <c r="D595" s="21" t="s">
        <v>1933</v>
      </c>
      <c r="E595" s="21" t="s">
        <v>48</v>
      </c>
      <c r="F595" s="64"/>
      <c r="G595" s="64"/>
      <c r="H595" s="64"/>
      <c r="I595" s="64"/>
      <c r="J595" s="23" t="s">
        <v>1934</v>
      </c>
      <c r="K595" s="21"/>
      <c r="L595" s="21" t="s">
        <v>1935</v>
      </c>
      <c r="M595" s="64"/>
      <c r="N595" s="64"/>
      <c r="O595" s="64"/>
      <c r="P595" s="64"/>
      <c r="Q595" s="23" t="s">
        <v>1934</v>
      </c>
      <c r="R595" s="21"/>
      <c r="S595" s="21" t="s">
        <v>1935</v>
      </c>
      <c r="T595" s="26">
        <v>840</v>
      </c>
      <c r="U595" s="27">
        <v>43845</v>
      </c>
      <c r="V595" s="27">
        <v>43845</v>
      </c>
      <c r="W595" s="28">
        <v>590</v>
      </c>
    </row>
    <row r="596" spans="1:23" ht="105.75" customHeight="1">
      <c r="A596" s="64" t="s">
        <v>1936</v>
      </c>
      <c r="B596" s="64" t="s">
        <v>88</v>
      </c>
      <c r="C596" s="21" t="s">
        <v>1881</v>
      </c>
      <c r="D596" s="21" t="s">
        <v>1902</v>
      </c>
      <c r="E596" s="21" t="s">
        <v>48</v>
      </c>
      <c r="F596" s="64"/>
      <c r="G596" s="64"/>
      <c r="H596" s="64"/>
      <c r="I596" s="64"/>
      <c r="J596" s="107" t="s">
        <v>1903</v>
      </c>
      <c r="K596" s="64"/>
      <c r="L596" s="21" t="s">
        <v>1904</v>
      </c>
      <c r="M596" s="64"/>
      <c r="N596" s="64"/>
      <c r="O596" s="64"/>
      <c r="P596" s="64"/>
      <c r="Q596" s="21" t="s">
        <v>1903</v>
      </c>
      <c r="R596" s="64"/>
      <c r="S596" s="21" t="s">
        <v>1904</v>
      </c>
      <c r="T596" s="26">
        <v>5000</v>
      </c>
      <c r="U596" s="27">
        <v>44197</v>
      </c>
      <c r="V596" s="27">
        <v>44561</v>
      </c>
      <c r="W596" s="28">
        <v>5000</v>
      </c>
    </row>
    <row r="597" spans="1:23" ht="45.75" customHeight="1">
      <c r="A597" s="64" t="s">
        <v>1937</v>
      </c>
      <c r="B597" s="64" t="s">
        <v>88</v>
      </c>
      <c r="C597" s="21" t="s">
        <v>1881</v>
      </c>
      <c r="D597" s="21" t="s">
        <v>1938</v>
      </c>
      <c r="E597" s="21" t="s">
        <v>48</v>
      </c>
      <c r="F597" s="64"/>
      <c r="G597" s="64"/>
      <c r="H597" s="64"/>
      <c r="I597" s="64"/>
      <c r="J597" s="107">
        <v>5195930580</v>
      </c>
      <c r="K597" s="64"/>
      <c r="L597" s="64" t="s">
        <v>1939</v>
      </c>
      <c r="M597" s="64"/>
      <c r="N597" s="64"/>
      <c r="O597" s="64"/>
      <c r="P597" s="64"/>
      <c r="Q597" s="107">
        <v>5195930580</v>
      </c>
      <c r="R597" s="64"/>
      <c r="S597" s="64" t="s">
        <v>1939</v>
      </c>
      <c r="T597" s="26">
        <v>450</v>
      </c>
      <c r="U597" s="27">
        <v>44168</v>
      </c>
      <c r="V597" s="118">
        <v>44224</v>
      </c>
      <c r="W597" s="28">
        <v>450</v>
      </c>
    </row>
    <row r="598" spans="1:23" ht="45" customHeight="1">
      <c r="A598" s="64" t="s">
        <v>1940</v>
      </c>
      <c r="B598" s="64" t="s">
        <v>88</v>
      </c>
      <c r="C598" s="21" t="s">
        <v>1881</v>
      </c>
      <c r="D598" s="21" t="s">
        <v>1941</v>
      </c>
      <c r="E598" s="21" t="s">
        <v>48</v>
      </c>
      <c r="F598" s="64"/>
      <c r="G598" s="64"/>
      <c r="H598" s="64"/>
      <c r="I598" s="64"/>
      <c r="J598" s="24" t="s">
        <v>1923</v>
      </c>
      <c r="K598" s="64"/>
      <c r="L598" s="64" t="s">
        <v>1924</v>
      </c>
      <c r="M598" s="64"/>
      <c r="N598" s="64"/>
      <c r="O598" s="64"/>
      <c r="P598" s="64"/>
      <c r="Q598" s="24" t="s">
        <v>1923</v>
      </c>
      <c r="R598" s="64"/>
      <c r="S598" s="64" t="s">
        <v>1924</v>
      </c>
      <c r="T598" s="26">
        <v>150</v>
      </c>
      <c r="U598" s="27">
        <v>44168</v>
      </c>
      <c r="V598" s="27">
        <v>44362</v>
      </c>
      <c r="W598" s="28">
        <v>150</v>
      </c>
    </row>
    <row r="599" spans="1:23" ht="60" customHeight="1">
      <c r="A599" s="64" t="s">
        <v>1942</v>
      </c>
      <c r="B599" s="64" t="s">
        <v>88</v>
      </c>
      <c r="C599" s="21" t="s">
        <v>1881</v>
      </c>
      <c r="D599" s="21" t="s">
        <v>1943</v>
      </c>
      <c r="E599" s="21" t="s">
        <v>39</v>
      </c>
      <c r="F599" s="64"/>
      <c r="G599" s="64"/>
      <c r="H599" s="64"/>
      <c r="I599" s="64"/>
      <c r="J599" s="23" t="s">
        <v>1944</v>
      </c>
      <c r="K599" s="64"/>
      <c r="L599" s="21" t="s">
        <v>1945</v>
      </c>
      <c r="M599" s="64"/>
      <c r="N599" s="64"/>
      <c r="O599" s="64"/>
      <c r="P599" s="64"/>
      <c r="Q599" s="23" t="s">
        <v>1944</v>
      </c>
      <c r="R599" s="64"/>
      <c r="S599" s="21" t="s">
        <v>1945</v>
      </c>
      <c r="T599" s="26">
        <v>7200</v>
      </c>
      <c r="U599" s="27">
        <v>44197</v>
      </c>
      <c r="V599" s="27">
        <v>44926</v>
      </c>
      <c r="W599" s="28">
        <v>3600</v>
      </c>
    </row>
    <row r="600" spans="1:23" ht="45" customHeight="1">
      <c r="A600" s="64" t="s">
        <v>1946</v>
      </c>
      <c r="B600" s="64" t="s">
        <v>88</v>
      </c>
      <c r="C600" s="21" t="s">
        <v>1881</v>
      </c>
      <c r="D600" s="21" t="s">
        <v>1947</v>
      </c>
      <c r="E600" s="21" t="s">
        <v>39</v>
      </c>
      <c r="F600" s="64"/>
      <c r="G600" s="64"/>
      <c r="H600" s="64"/>
      <c r="I600" s="64"/>
      <c r="J600" s="23" t="s">
        <v>1944</v>
      </c>
      <c r="K600" s="64"/>
      <c r="L600" s="21" t="s">
        <v>1945</v>
      </c>
      <c r="M600" s="64"/>
      <c r="N600" s="64"/>
      <c r="O600" s="64"/>
      <c r="P600" s="64"/>
      <c r="Q600" s="23" t="s">
        <v>1944</v>
      </c>
      <c r="R600" s="64"/>
      <c r="S600" s="21" t="s">
        <v>1945</v>
      </c>
      <c r="T600" s="26">
        <v>4000</v>
      </c>
      <c r="U600" s="27">
        <v>44197</v>
      </c>
      <c r="V600" s="27">
        <v>44561</v>
      </c>
      <c r="W600" s="28">
        <v>4000</v>
      </c>
    </row>
    <row r="601" spans="1:23" ht="60" customHeight="1">
      <c r="A601" s="64" t="s">
        <v>1948</v>
      </c>
      <c r="B601" s="64" t="s">
        <v>88</v>
      </c>
      <c r="C601" s="21" t="s">
        <v>1881</v>
      </c>
      <c r="D601" s="21" t="s">
        <v>1913</v>
      </c>
      <c r="E601" s="21" t="s">
        <v>48</v>
      </c>
      <c r="F601" s="64"/>
      <c r="G601" s="64"/>
      <c r="H601" s="64"/>
      <c r="I601" s="64"/>
      <c r="J601" s="23" t="s">
        <v>1914</v>
      </c>
      <c r="K601" s="64"/>
      <c r="L601" s="21" t="s">
        <v>1915</v>
      </c>
      <c r="M601" s="64"/>
      <c r="N601" s="64"/>
      <c r="O601" s="64"/>
      <c r="P601" s="64"/>
      <c r="Q601" s="23" t="s">
        <v>1914</v>
      </c>
      <c r="R601" s="64"/>
      <c r="S601" s="21" t="s">
        <v>1915</v>
      </c>
      <c r="T601" s="26">
        <v>4000</v>
      </c>
      <c r="U601" s="27">
        <v>44256</v>
      </c>
      <c r="V601" s="27">
        <v>44620</v>
      </c>
      <c r="W601" s="28">
        <v>4000</v>
      </c>
    </row>
    <row r="602" spans="1:23" ht="45" customHeight="1">
      <c r="A602" s="64" t="s">
        <v>1949</v>
      </c>
      <c r="B602" s="64" t="s">
        <v>88</v>
      </c>
      <c r="C602" s="21" t="s">
        <v>1881</v>
      </c>
      <c r="D602" s="21" t="s">
        <v>1885</v>
      </c>
      <c r="E602" s="21" t="s">
        <v>39</v>
      </c>
      <c r="F602" s="64"/>
      <c r="G602" s="64"/>
      <c r="H602" s="64"/>
      <c r="I602" s="64"/>
      <c r="J602" s="23" t="s">
        <v>1882</v>
      </c>
      <c r="K602" s="64"/>
      <c r="L602" s="21" t="s">
        <v>1883</v>
      </c>
      <c r="M602" s="64"/>
      <c r="N602" s="64"/>
      <c r="O602" s="64"/>
      <c r="P602" s="64"/>
      <c r="Q602" s="23" t="s">
        <v>1882</v>
      </c>
      <c r="R602" s="64"/>
      <c r="S602" s="21" t="s">
        <v>1883</v>
      </c>
      <c r="T602" s="26">
        <v>2203.71</v>
      </c>
      <c r="U602" s="27">
        <v>44271</v>
      </c>
      <c r="V602" s="25"/>
      <c r="W602" s="28">
        <v>1552.71</v>
      </c>
    </row>
    <row r="603" spans="1:23" ht="45" customHeight="1">
      <c r="A603" s="64" t="s">
        <v>1950</v>
      </c>
      <c r="B603" s="64" t="s">
        <v>88</v>
      </c>
      <c r="C603" s="21" t="s">
        <v>1881</v>
      </c>
      <c r="D603" s="21" t="s">
        <v>346</v>
      </c>
      <c r="E603" s="21" t="s">
        <v>39</v>
      </c>
      <c r="F603" s="64"/>
      <c r="G603" s="64"/>
      <c r="H603" s="64"/>
      <c r="I603" s="64"/>
      <c r="J603" s="23" t="s">
        <v>1882</v>
      </c>
      <c r="K603" s="64"/>
      <c r="L603" s="21" t="s">
        <v>1883</v>
      </c>
      <c r="M603" s="64"/>
      <c r="N603" s="64"/>
      <c r="O603" s="64"/>
      <c r="P603" s="64"/>
      <c r="Q603" s="23" t="s">
        <v>1882</v>
      </c>
      <c r="R603" s="64"/>
      <c r="S603" s="21" t="s">
        <v>1883</v>
      </c>
      <c r="T603" s="26">
        <v>3944.56</v>
      </c>
      <c r="U603" s="27">
        <v>44271</v>
      </c>
      <c r="V603" s="25"/>
      <c r="W603" s="28">
        <v>3609.04</v>
      </c>
    </row>
    <row r="604" spans="1:23" ht="45" customHeight="1">
      <c r="A604" s="29" t="s">
        <v>1951</v>
      </c>
      <c r="B604" s="64" t="s">
        <v>88</v>
      </c>
      <c r="C604" s="21" t="s">
        <v>1881</v>
      </c>
      <c r="D604" s="21" t="s">
        <v>1917</v>
      </c>
      <c r="E604" s="21" t="s">
        <v>48</v>
      </c>
      <c r="F604" s="64"/>
      <c r="G604" s="64"/>
      <c r="H604" s="64"/>
      <c r="I604" s="64"/>
      <c r="J604" s="23" t="s">
        <v>665</v>
      </c>
      <c r="K604" s="64"/>
      <c r="L604" s="21" t="s">
        <v>169</v>
      </c>
      <c r="M604" s="64"/>
      <c r="N604" s="64"/>
      <c r="O604" s="64"/>
      <c r="P604" s="64"/>
      <c r="Q604" s="23" t="s">
        <v>665</v>
      </c>
      <c r="R604" s="64"/>
      <c r="S604" s="21" t="s">
        <v>169</v>
      </c>
      <c r="T604" s="26">
        <v>4516</v>
      </c>
      <c r="U604" s="27">
        <v>44322</v>
      </c>
      <c r="V604" s="27">
        <v>44340</v>
      </c>
      <c r="W604" s="28">
        <v>4516</v>
      </c>
    </row>
    <row r="605" spans="1:23" ht="60" customHeight="1">
      <c r="A605" s="29" t="s">
        <v>1952</v>
      </c>
      <c r="B605" s="64" t="s">
        <v>88</v>
      </c>
      <c r="C605" s="21" t="s">
        <v>1881</v>
      </c>
      <c r="D605" s="21" t="s">
        <v>1919</v>
      </c>
      <c r="E605" s="21" t="s">
        <v>48</v>
      </c>
      <c r="F605" s="64"/>
      <c r="G605" s="64"/>
      <c r="H605" s="64"/>
      <c r="I605" s="64"/>
      <c r="J605" s="23" t="s">
        <v>665</v>
      </c>
      <c r="K605" s="64"/>
      <c r="L605" s="21" t="s">
        <v>169</v>
      </c>
      <c r="M605" s="64"/>
      <c r="N605" s="64"/>
      <c r="O605" s="64"/>
      <c r="P605" s="64"/>
      <c r="Q605" s="23" t="s">
        <v>665</v>
      </c>
      <c r="R605" s="64"/>
      <c r="S605" s="21" t="s">
        <v>169</v>
      </c>
      <c r="T605" s="26">
        <v>714</v>
      </c>
      <c r="U605" s="27">
        <v>44322</v>
      </c>
      <c r="V605" s="27">
        <v>44405</v>
      </c>
      <c r="W605" s="28">
        <v>714</v>
      </c>
    </row>
    <row r="606" spans="1:23" ht="45" customHeight="1">
      <c r="A606" s="29" t="s">
        <v>1953</v>
      </c>
      <c r="B606" s="64" t="s">
        <v>88</v>
      </c>
      <c r="C606" s="21" t="s">
        <v>1881</v>
      </c>
      <c r="D606" s="21" t="s">
        <v>1954</v>
      </c>
      <c r="E606" s="21" t="s">
        <v>48</v>
      </c>
      <c r="F606" s="64"/>
      <c r="G606" s="64"/>
      <c r="H606" s="64"/>
      <c r="I606" s="64"/>
      <c r="J606" s="23" t="s">
        <v>665</v>
      </c>
      <c r="K606" s="64"/>
      <c r="L606" s="21" t="s">
        <v>169</v>
      </c>
      <c r="M606" s="64"/>
      <c r="N606" s="64"/>
      <c r="O606" s="64"/>
      <c r="P606" s="64"/>
      <c r="Q606" s="23" t="s">
        <v>665</v>
      </c>
      <c r="R606" s="64"/>
      <c r="S606" s="21" t="s">
        <v>169</v>
      </c>
      <c r="T606" s="26">
        <v>1290</v>
      </c>
      <c r="U606" s="27">
        <v>44322</v>
      </c>
      <c r="V606" s="27">
        <v>44340</v>
      </c>
      <c r="W606" s="28">
        <v>1290</v>
      </c>
    </row>
    <row r="607" spans="1:23" ht="45" customHeight="1">
      <c r="A607" s="29" t="s">
        <v>1955</v>
      </c>
      <c r="B607" s="64" t="s">
        <v>88</v>
      </c>
      <c r="C607" s="21" t="s">
        <v>1881</v>
      </c>
      <c r="D607" s="21" t="s">
        <v>1956</v>
      </c>
      <c r="E607" s="21" t="s">
        <v>48</v>
      </c>
      <c r="F607" s="64"/>
      <c r="G607" s="64"/>
      <c r="H607" s="64"/>
      <c r="I607" s="64"/>
      <c r="J607" s="23" t="s">
        <v>665</v>
      </c>
      <c r="K607" s="64"/>
      <c r="L607" s="21" t="s">
        <v>169</v>
      </c>
      <c r="M607" s="64"/>
      <c r="N607" s="64"/>
      <c r="O607" s="64"/>
      <c r="P607" s="64"/>
      <c r="Q607" s="23" t="s">
        <v>665</v>
      </c>
      <c r="R607" s="64"/>
      <c r="S607" s="21" t="s">
        <v>169</v>
      </c>
      <c r="T607" s="26">
        <v>1130</v>
      </c>
      <c r="U607" s="27">
        <v>44322</v>
      </c>
      <c r="V607" s="27">
        <v>44341</v>
      </c>
      <c r="W607" s="28">
        <v>1130</v>
      </c>
    </row>
    <row r="608" spans="1:23" ht="45" customHeight="1">
      <c r="A608" s="29" t="s">
        <v>1957</v>
      </c>
      <c r="B608" s="64" t="s">
        <v>88</v>
      </c>
      <c r="C608" s="21" t="s">
        <v>1881</v>
      </c>
      <c r="D608" s="119" t="s">
        <v>1958</v>
      </c>
      <c r="E608" s="21" t="s">
        <v>48</v>
      </c>
      <c r="F608" s="64"/>
      <c r="G608" s="64"/>
      <c r="H608" s="64"/>
      <c r="I608" s="64"/>
      <c r="J608" s="23" t="s">
        <v>665</v>
      </c>
      <c r="K608" s="64"/>
      <c r="L608" s="21" t="s">
        <v>169</v>
      </c>
      <c r="M608" s="64"/>
      <c r="N608" s="64"/>
      <c r="O608" s="64"/>
      <c r="P608" s="64"/>
      <c r="Q608" s="23" t="s">
        <v>665</v>
      </c>
      <c r="R608" s="64"/>
      <c r="S608" s="21" t="s">
        <v>169</v>
      </c>
      <c r="T608" s="26">
        <v>610</v>
      </c>
      <c r="U608" s="27">
        <v>44336</v>
      </c>
      <c r="V608" s="27">
        <v>44389</v>
      </c>
      <c r="W608" s="28">
        <v>610</v>
      </c>
    </row>
    <row r="609" spans="1:23" ht="45" customHeight="1">
      <c r="A609" s="29" t="s">
        <v>1959</v>
      </c>
      <c r="B609" s="64" t="s">
        <v>88</v>
      </c>
      <c r="C609" s="21" t="s">
        <v>1881</v>
      </c>
      <c r="D609" s="21" t="s">
        <v>1960</v>
      </c>
      <c r="E609" s="21" t="s">
        <v>48</v>
      </c>
      <c r="F609" s="64"/>
      <c r="G609" s="64"/>
      <c r="H609" s="64"/>
      <c r="I609" s="64"/>
      <c r="J609" s="23" t="s">
        <v>665</v>
      </c>
      <c r="K609" s="64"/>
      <c r="L609" s="21" t="s">
        <v>169</v>
      </c>
      <c r="M609" s="64"/>
      <c r="N609" s="64"/>
      <c r="O609" s="64"/>
      <c r="P609" s="64"/>
      <c r="Q609" s="23" t="s">
        <v>665</v>
      </c>
      <c r="R609" s="64"/>
      <c r="S609" s="21" t="s">
        <v>169</v>
      </c>
      <c r="T609" s="26">
        <v>2636.54</v>
      </c>
      <c r="U609" s="27">
        <v>44336</v>
      </c>
      <c r="V609" s="27">
        <v>44461</v>
      </c>
      <c r="W609" s="28">
        <v>2636.54</v>
      </c>
    </row>
    <row r="610" spans="1:23" ht="45" customHeight="1">
      <c r="A610" s="29" t="s">
        <v>1961</v>
      </c>
      <c r="B610" s="64" t="s">
        <v>88</v>
      </c>
      <c r="C610" s="21" t="s">
        <v>1881</v>
      </c>
      <c r="D610" s="29" t="s">
        <v>1962</v>
      </c>
      <c r="E610" s="21" t="s">
        <v>48</v>
      </c>
      <c r="F610" s="29"/>
      <c r="G610" s="29"/>
      <c r="H610" s="29"/>
      <c r="I610" s="29"/>
      <c r="J610" s="23" t="s">
        <v>347</v>
      </c>
      <c r="K610" s="64"/>
      <c r="L610" s="21" t="s">
        <v>348</v>
      </c>
      <c r="M610" s="29"/>
      <c r="N610" s="29"/>
      <c r="O610" s="29"/>
      <c r="P610" s="29"/>
      <c r="Q610" s="23" t="s">
        <v>347</v>
      </c>
      <c r="R610" s="64"/>
      <c r="S610" s="21" t="s">
        <v>348</v>
      </c>
      <c r="T610" s="26">
        <v>3303.1</v>
      </c>
      <c r="U610" s="27">
        <v>44410</v>
      </c>
      <c r="V610" s="27">
        <v>44469</v>
      </c>
      <c r="W610" s="28">
        <v>3303.1</v>
      </c>
    </row>
    <row r="611" spans="1:23" ht="45" customHeight="1">
      <c r="A611" s="29" t="s">
        <v>1963</v>
      </c>
      <c r="B611" s="64" t="s">
        <v>88</v>
      </c>
      <c r="C611" s="21" t="s">
        <v>1881</v>
      </c>
      <c r="D611" s="21" t="s">
        <v>1947</v>
      </c>
      <c r="E611" s="21" t="s">
        <v>48</v>
      </c>
      <c r="F611" s="64"/>
      <c r="G611" s="64"/>
      <c r="H611" s="64"/>
      <c r="I611" s="64"/>
      <c r="J611" s="23" t="s">
        <v>1944</v>
      </c>
      <c r="K611" s="64"/>
      <c r="L611" s="21" t="s">
        <v>1945</v>
      </c>
      <c r="M611" s="29"/>
      <c r="N611" s="29"/>
      <c r="O611" s="29"/>
      <c r="P611" s="29"/>
      <c r="Q611" s="23" t="s">
        <v>1944</v>
      </c>
      <c r="R611" s="64"/>
      <c r="S611" s="21" t="s">
        <v>1945</v>
      </c>
      <c r="T611" s="26">
        <v>4000</v>
      </c>
      <c r="U611" s="27">
        <v>44562</v>
      </c>
      <c r="V611" s="27">
        <v>44926</v>
      </c>
      <c r="W611" s="123">
        <v>0</v>
      </c>
    </row>
    <row r="612" spans="1:23" ht="105.75" customHeight="1">
      <c r="A612" s="29" t="s">
        <v>1964</v>
      </c>
      <c r="B612" s="64" t="s">
        <v>88</v>
      </c>
      <c r="C612" s="21" t="s">
        <v>1881</v>
      </c>
      <c r="D612" s="21" t="s">
        <v>1902</v>
      </c>
      <c r="E612" s="21" t="s">
        <v>48</v>
      </c>
      <c r="F612" s="64"/>
      <c r="G612" s="64"/>
      <c r="H612" s="64"/>
      <c r="I612" s="64"/>
      <c r="J612" s="116" t="s">
        <v>1903</v>
      </c>
      <c r="K612" s="64"/>
      <c r="L612" s="21" t="s">
        <v>1904</v>
      </c>
      <c r="M612" s="64"/>
      <c r="N612" s="64"/>
      <c r="O612" s="64"/>
      <c r="P612" s="64"/>
      <c r="Q612" s="21" t="s">
        <v>1903</v>
      </c>
      <c r="R612" s="64"/>
      <c r="S612" s="21" t="s">
        <v>1904</v>
      </c>
      <c r="T612" s="26">
        <v>5000</v>
      </c>
      <c r="U612" s="27">
        <v>44562</v>
      </c>
      <c r="V612" s="27">
        <v>44926</v>
      </c>
      <c r="W612" s="123">
        <v>0</v>
      </c>
    </row>
    <row r="613" spans="1:23" ht="60" customHeight="1">
      <c r="A613" s="29" t="s">
        <v>1965</v>
      </c>
      <c r="B613" s="64" t="s">
        <v>88</v>
      </c>
      <c r="C613" s="21" t="s">
        <v>1881</v>
      </c>
      <c r="D613" s="21" t="s">
        <v>1966</v>
      </c>
      <c r="E613" s="21" t="s">
        <v>48</v>
      </c>
      <c r="F613" s="29"/>
      <c r="G613" s="29"/>
      <c r="H613" s="29"/>
      <c r="I613" s="29"/>
      <c r="J613" s="24" t="s">
        <v>248</v>
      </c>
      <c r="K613" s="29"/>
      <c r="L613" s="29" t="s">
        <v>444</v>
      </c>
      <c r="M613" s="29"/>
      <c r="N613" s="29"/>
      <c r="O613" s="29"/>
      <c r="P613" s="29"/>
      <c r="Q613" s="24" t="s">
        <v>248</v>
      </c>
      <c r="R613" s="29"/>
      <c r="S613" s="29" t="s">
        <v>444</v>
      </c>
      <c r="T613" s="26">
        <v>300</v>
      </c>
      <c r="U613" s="27">
        <v>44562</v>
      </c>
      <c r="V613" s="27">
        <v>44926</v>
      </c>
      <c r="W613" s="123">
        <v>0</v>
      </c>
    </row>
    <row r="614" spans="1:23" ht="60" customHeight="1">
      <c r="A614" s="31">
        <v>0</v>
      </c>
      <c r="B614" s="64">
        <v>80204250585</v>
      </c>
      <c r="C614" s="21" t="s">
        <v>83</v>
      </c>
      <c r="D614" s="21" t="s">
        <v>1967</v>
      </c>
      <c r="E614" s="21" t="s">
        <v>48</v>
      </c>
      <c r="F614" s="21"/>
      <c r="G614" s="66"/>
      <c r="H614" s="64"/>
      <c r="I614" s="64"/>
      <c r="J614" s="36" t="s">
        <v>1968</v>
      </c>
      <c r="K614" s="64"/>
      <c r="L614" s="21" t="s">
        <v>1969</v>
      </c>
      <c r="M614" s="64"/>
      <c r="N614" s="66"/>
      <c r="O614" s="64"/>
      <c r="P614" s="64"/>
      <c r="Q614" s="37" t="s">
        <v>1968</v>
      </c>
      <c r="R614" s="64"/>
      <c r="S614" s="21" t="s">
        <v>1969</v>
      </c>
      <c r="T614" s="28">
        <v>380</v>
      </c>
      <c r="U614" s="27">
        <v>42138</v>
      </c>
      <c r="V614" s="27">
        <v>42140</v>
      </c>
      <c r="W614" s="95">
        <v>0</v>
      </c>
    </row>
    <row r="615" spans="1:23" ht="60" customHeight="1">
      <c r="A615" s="31">
        <v>0</v>
      </c>
      <c r="B615" s="64">
        <v>80204250585</v>
      </c>
      <c r="C615" s="21" t="s">
        <v>83</v>
      </c>
      <c r="D615" s="21" t="s">
        <v>1967</v>
      </c>
      <c r="E615" s="21" t="s">
        <v>48</v>
      </c>
      <c r="F615" s="21"/>
      <c r="G615" s="66"/>
      <c r="H615" s="64"/>
      <c r="I615" s="64"/>
      <c r="J615" s="23" t="s">
        <v>1970</v>
      </c>
      <c r="K615" s="64"/>
      <c r="L615" s="21" t="s">
        <v>1971</v>
      </c>
      <c r="M615" s="64"/>
      <c r="N615" s="66"/>
      <c r="O615" s="64"/>
      <c r="P615" s="64"/>
      <c r="Q615" s="24" t="s">
        <v>1970</v>
      </c>
      <c r="R615" s="64"/>
      <c r="S615" s="21" t="s">
        <v>1971</v>
      </c>
      <c r="T615" s="28">
        <v>200</v>
      </c>
      <c r="U615" s="27">
        <v>42167</v>
      </c>
      <c r="V615" s="27">
        <v>42195</v>
      </c>
      <c r="W615" s="95">
        <v>0</v>
      </c>
    </row>
    <row r="616" spans="1:23" ht="45" customHeight="1">
      <c r="A616" s="31">
        <v>0</v>
      </c>
      <c r="B616" s="64">
        <v>80204250585</v>
      </c>
      <c r="C616" s="21" t="s">
        <v>83</v>
      </c>
      <c r="D616" s="21" t="s">
        <v>1967</v>
      </c>
      <c r="E616" s="21" t="s">
        <v>48</v>
      </c>
      <c r="F616" s="21"/>
      <c r="G616" s="66"/>
      <c r="H616" s="64"/>
      <c r="I616" s="64"/>
      <c r="J616" s="23" t="s">
        <v>1972</v>
      </c>
      <c r="K616" s="64"/>
      <c r="L616" s="21" t="s">
        <v>1973</v>
      </c>
      <c r="M616" s="64"/>
      <c r="N616" s="66"/>
      <c r="O616" s="64"/>
      <c r="P616" s="64"/>
      <c r="Q616" s="24" t="s">
        <v>1972</v>
      </c>
      <c r="R616" s="64"/>
      <c r="S616" s="21" t="s">
        <v>1973</v>
      </c>
      <c r="T616" s="28">
        <v>1500</v>
      </c>
      <c r="U616" s="27">
        <v>42268</v>
      </c>
      <c r="V616" s="27">
        <v>42270</v>
      </c>
      <c r="W616" s="95">
        <v>0</v>
      </c>
    </row>
    <row r="617" spans="1:23" ht="45" customHeight="1">
      <c r="A617" s="31">
        <v>0</v>
      </c>
      <c r="B617" s="64">
        <v>80204250585</v>
      </c>
      <c r="C617" s="21" t="s">
        <v>83</v>
      </c>
      <c r="D617" s="21" t="s">
        <v>1967</v>
      </c>
      <c r="E617" s="21" t="s">
        <v>48</v>
      </c>
      <c r="F617" s="21"/>
      <c r="G617" s="66"/>
      <c r="H617" s="64"/>
      <c r="I617" s="64"/>
      <c r="J617" s="23" t="s">
        <v>1972</v>
      </c>
      <c r="K617" s="64"/>
      <c r="L617" s="21" t="s">
        <v>1973</v>
      </c>
      <c r="M617" s="64"/>
      <c r="N617" s="66"/>
      <c r="O617" s="64"/>
      <c r="P617" s="64"/>
      <c r="Q617" s="24" t="s">
        <v>1972</v>
      </c>
      <c r="R617" s="64"/>
      <c r="S617" s="21" t="s">
        <v>1973</v>
      </c>
      <c r="T617" s="28">
        <v>1500</v>
      </c>
      <c r="U617" s="27">
        <v>42268</v>
      </c>
      <c r="V617" s="27">
        <v>42270</v>
      </c>
      <c r="W617" s="95">
        <v>0</v>
      </c>
    </row>
    <row r="618" spans="1:23" ht="60" customHeight="1">
      <c r="A618" s="31">
        <v>0</v>
      </c>
      <c r="B618" s="64">
        <v>80204250585</v>
      </c>
      <c r="C618" s="21" t="s">
        <v>83</v>
      </c>
      <c r="D618" s="21" t="s">
        <v>1967</v>
      </c>
      <c r="E618" s="21" t="s">
        <v>48</v>
      </c>
      <c r="F618" s="21"/>
      <c r="G618" s="66"/>
      <c r="H618" s="64"/>
      <c r="I618" s="64"/>
      <c r="J618" s="23" t="s">
        <v>1974</v>
      </c>
      <c r="K618" s="64"/>
      <c r="L618" s="21" t="s">
        <v>1975</v>
      </c>
      <c r="M618" s="64"/>
      <c r="N618" s="66"/>
      <c r="O618" s="64"/>
      <c r="P618" s="64"/>
      <c r="Q618" s="24" t="s">
        <v>1974</v>
      </c>
      <c r="R618" s="64"/>
      <c r="S618" s="21" t="s">
        <v>1975</v>
      </c>
      <c r="T618" s="28">
        <v>908.9</v>
      </c>
      <c r="U618" s="27">
        <v>42276</v>
      </c>
      <c r="V618" s="27">
        <v>42276</v>
      </c>
      <c r="W618" s="95">
        <v>0</v>
      </c>
    </row>
    <row r="619" spans="1:23" ht="120" customHeight="1">
      <c r="A619" s="31">
        <v>0</v>
      </c>
      <c r="B619" s="64">
        <v>80204250585</v>
      </c>
      <c r="C619" s="21" t="s">
        <v>83</v>
      </c>
      <c r="D619" s="21" t="s">
        <v>1976</v>
      </c>
      <c r="E619" s="21" t="s">
        <v>48</v>
      </c>
      <c r="F619" s="21"/>
      <c r="G619" s="66"/>
      <c r="H619" s="64"/>
      <c r="I619" s="64"/>
      <c r="J619" s="36" t="s">
        <v>1977</v>
      </c>
      <c r="K619" s="64"/>
      <c r="L619" s="21" t="s">
        <v>1978</v>
      </c>
      <c r="M619" s="64"/>
      <c r="N619" s="66"/>
      <c r="O619" s="64"/>
      <c r="P619" s="64"/>
      <c r="Q619" s="37" t="s">
        <v>1977</v>
      </c>
      <c r="R619" s="64"/>
      <c r="S619" s="21" t="s">
        <v>1978</v>
      </c>
      <c r="T619" s="28">
        <v>10</v>
      </c>
      <c r="U619" s="27">
        <v>42431</v>
      </c>
      <c r="V619" s="27">
        <v>42431</v>
      </c>
      <c r="W619" s="95">
        <v>0</v>
      </c>
    </row>
    <row r="620" spans="1:23" ht="60" customHeight="1">
      <c r="A620" s="31">
        <v>0</v>
      </c>
      <c r="B620" s="64">
        <v>80204250585</v>
      </c>
      <c r="C620" s="21" t="s">
        <v>83</v>
      </c>
      <c r="D620" s="21" t="s">
        <v>1979</v>
      </c>
      <c r="E620" s="21" t="s">
        <v>48</v>
      </c>
      <c r="F620" s="21"/>
      <c r="G620" s="64"/>
      <c r="H620" s="64"/>
      <c r="I620" s="64"/>
      <c r="J620" s="23" t="s">
        <v>1980</v>
      </c>
      <c r="K620" s="64"/>
      <c r="L620" s="21" t="s">
        <v>1981</v>
      </c>
      <c r="M620" s="64"/>
      <c r="N620" s="64"/>
      <c r="O620" s="64"/>
      <c r="P620" s="64"/>
      <c r="Q620" s="24" t="s">
        <v>1980</v>
      </c>
      <c r="R620" s="64"/>
      <c r="S620" s="21" t="s">
        <v>1981</v>
      </c>
      <c r="T620" s="28">
        <v>305</v>
      </c>
      <c r="U620" s="27">
        <v>42552</v>
      </c>
      <c r="V620" s="27">
        <v>42706</v>
      </c>
      <c r="W620" s="95">
        <v>0</v>
      </c>
    </row>
    <row r="621" spans="1:23" ht="60" customHeight="1">
      <c r="A621" s="31">
        <v>0</v>
      </c>
      <c r="B621" s="64">
        <v>80204250585</v>
      </c>
      <c r="C621" s="21" t="s">
        <v>83</v>
      </c>
      <c r="D621" s="21" t="s">
        <v>1982</v>
      </c>
      <c r="E621" s="21" t="s">
        <v>48</v>
      </c>
      <c r="F621" s="21"/>
      <c r="G621" s="66"/>
      <c r="H621" s="64"/>
      <c r="I621" s="64"/>
      <c r="J621" s="23" t="s">
        <v>1983</v>
      </c>
      <c r="K621" s="64"/>
      <c r="L621" s="21" t="s">
        <v>1984</v>
      </c>
      <c r="M621" s="64"/>
      <c r="N621" s="66"/>
      <c r="O621" s="64"/>
      <c r="P621" s="64"/>
      <c r="Q621" s="24" t="s">
        <v>1983</v>
      </c>
      <c r="R621" s="64"/>
      <c r="S621" s="21" t="s">
        <v>1984</v>
      </c>
      <c r="T621" s="28">
        <v>490</v>
      </c>
      <c r="U621" s="27">
        <v>42625</v>
      </c>
      <c r="V621" s="27">
        <v>42629</v>
      </c>
      <c r="W621" s="95">
        <v>0</v>
      </c>
    </row>
    <row r="622" spans="1:23" ht="75" customHeight="1">
      <c r="A622" s="31">
        <v>0</v>
      </c>
      <c r="B622" s="64">
        <v>80204250585</v>
      </c>
      <c r="C622" s="21" t="s">
        <v>83</v>
      </c>
      <c r="D622" s="21" t="s">
        <v>1985</v>
      </c>
      <c r="E622" s="21" t="s">
        <v>48</v>
      </c>
      <c r="F622" s="21"/>
      <c r="G622" s="64"/>
      <c r="H622" s="64"/>
      <c r="I622" s="64"/>
      <c r="J622" s="23" t="s">
        <v>1986</v>
      </c>
      <c r="K622" s="64"/>
      <c r="L622" s="21" t="s">
        <v>1987</v>
      </c>
      <c r="M622" s="64"/>
      <c r="N622" s="64"/>
      <c r="O622" s="64"/>
      <c r="P622" s="64"/>
      <c r="Q622" s="24" t="s">
        <v>1986</v>
      </c>
      <c r="R622" s="64"/>
      <c r="S622" s="21" t="s">
        <v>1987</v>
      </c>
      <c r="T622" s="28">
        <v>750</v>
      </c>
      <c r="U622" s="27">
        <v>42625</v>
      </c>
      <c r="V622" s="27">
        <v>42628</v>
      </c>
      <c r="W622" s="95">
        <v>0</v>
      </c>
    </row>
    <row r="623" spans="1:23" ht="60" customHeight="1">
      <c r="A623" s="31" t="s">
        <v>1988</v>
      </c>
      <c r="B623" s="64">
        <v>80204250585</v>
      </c>
      <c r="C623" s="21" t="s">
        <v>83</v>
      </c>
      <c r="D623" s="21" t="s">
        <v>1989</v>
      </c>
      <c r="E623" s="21" t="s">
        <v>48</v>
      </c>
      <c r="F623" s="21"/>
      <c r="G623" s="66"/>
      <c r="H623" s="64"/>
      <c r="I623" s="64"/>
      <c r="J623" s="23" t="s">
        <v>1990</v>
      </c>
      <c r="K623" s="64"/>
      <c r="L623" s="21" t="s">
        <v>1991</v>
      </c>
      <c r="M623" s="64"/>
      <c r="N623" s="66"/>
      <c r="O623" s="64"/>
      <c r="P623" s="64"/>
      <c r="Q623" s="23" t="s">
        <v>1990</v>
      </c>
      <c r="R623" s="64"/>
      <c r="S623" s="21" t="s">
        <v>1991</v>
      </c>
      <c r="T623" s="28">
        <v>5900</v>
      </c>
      <c r="U623" s="27">
        <v>42723</v>
      </c>
      <c r="V623" s="27">
        <v>42726</v>
      </c>
      <c r="W623" s="95">
        <v>0</v>
      </c>
    </row>
    <row r="624" spans="1:23" ht="90" customHeight="1">
      <c r="A624" s="31">
        <v>0</v>
      </c>
      <c r="B624" s="64">
        <v>80204250585</v>
      </c>
      <c r="C624" s="21" t="s">
        <v>83</v>
      </c>
      <c r="D624" s="21" t="s">
        <v>1992</v>
      </c>
      <c r="E624" s="21" t="s">
        <v>48</v>
      </c>
      <c r="F624" s="21"/>
      <c r="G624" s="64"/>
      <c r="H624" s="64"/>
      <c r="I624" s="64"/>
      <c r="J624" s="23" t="s">
        <v>1993</v>
      </c>
      <c r="K624" s="64"/>
      <c r="L624" s="21" t="s">
        <v>1994</v>
      </c>
      <c r="M624" s="64"/>
      <c r="N624" s="64"/>
      <c r="O624" s="64"/>
      <c r="P624" s="64"/>
      <c r="Q624" s="24" t="s">
        <v>1993</v>
      </c>
      <c r="R624" s="64"/>
      <c r="S624" s="21" t="s">
        <v>1994</v>
      </c>
      <c r="T624" s="28">
        <v>180</v>
      </c>
      <c r="U624" s="27">
        <v>42796</v>
      </c>
      <c r="V624" s="27">
        <v>42797</v>
      </c>
      <c r="W624" s="95">
        <v>0</v>
      </c>
    </row>
    <row r="625" spans="1:23" ht="90" customHeight="1">
      <c r="A625" s="31">
        <v>0</v>
      </c>
      <c r="B625" s="64">
        <v>80204250585</v>
      </c>
      <c r="C625" s="21" t="s">
        <v>83</v>
      </c>
      <c r="D625" s="21" t="s">
        <v>1992</v>
      </c>
      <c r="E625" s="21" t="s">
        <v>48</v>
      </c>
      <c r="F625" s="21"/>
      <c r="G625" s="66"/>
      <c r="H625" s="64"/>
      <c r="I625" s="64"/>
      <c r="J625" s="23" t="s">
        <v>1993</v>
      </c>
      <c r="K625" s="64"/>
      <c r="L625" s="21" t="s">
        <v>1994</v>
      </c>
      <c r="M625" s="64"/>
      <c r="N625" s="66"/>
      <c r="O625" s="64"/>
      <c r="P625" s="64"/>
      <c r="Q625" s="24" t="s">
        <v>1993</v>
      </c>
      <c r="R625" s="64"/>
      <c r="S625" s="21" t="s">
        <v>1994</v>
      </c>
      <c r="T625" s="28">
        <v>180</v>
      </c>
      <c r="U625" s="27">
        <v>42796</v>
      </c>
      <c r="V625" s="27">
        <v>42797</v>
      </c>
      <c r="W625" s="95">
        <v>0</v>
      </c>
    </row>
    <row r="626" spans="1:23" ht="75" customHeight="1">
      <c r="A626" s="31">
        <v>0</v>
      </c>
      <c r="B626" s="64">
        <v>80204250585</v>
      </c>
      <c r="C626" s="21" t="s">
        <v>83</v>
      </c>
      <c r="D626" s="21" t="s">
        <v>1995</v>
      </c>
      <c r="E626" s="21" t="s">
        <v>48</v>
      </c>
      <c r="F626" s="21"/>
      <c r="G626" s="64"/>
      <c r="H626" s="64"/>
      <c r="I626" s="64"/>
      <c r="J626" s="23" t="s">
        <v>1968</v>
      </c>
      <c r="K626" s="64"/>
      <c r="L626" s="21" t="s">
        <v>1996</v>
      </c>
      <c r="M626" s="64"/>
      <c r="N626" s="64"/>
      <c r="O626" s="64"/>
      <c r="P626" s="64"/>
      <c r="Q626" s="37" t="s">
        <v>1968</v>
      </c>
      <c r="R626" s="64"/>
      <c r="S626" s="21" t="s">
        <v>1996</v>
      </c>
      <c r="T626" s="28">
        <v>380</v>
      </c>
      <c r="U626" s="27">
        <v>42866</v>
      </c>
      <c r="V626" s="27">
        <v>42868</v>
      </c>
      <c r="W626" s="95">
        <v>0</v>
      </c>
    </row>
    <row r="627" spans="1:23" ht="60" customHeight="1">
      <c r="A627" s="31" t="s">
        <v>1997</v>
      </c>
      <c r="B627" s="64">
        <v>80204250585</v>
      </c>
      <c r="C627" s="21" t="s">
        <v>83</v>
      </c>
      <c r="D627" s="21" t="s">
        <v>1998</v>
      </c>
      <c r="E627" s="21" t="s">
        <v>48</v>
      </c>
      <c r="F627" s="21"/>
      <c r="G627" s="64"/>
      <c r="H627" s="64"/>
      <c r="I627" s="64"/>
      <c r="J627" s="23" t="s">
        <v>1974</v>
      </c>
      <c r="K627" s="64"/>
      <c r="L627" s="21" t="s">
        <v>1999</v>
      </c>
      <c r="M627" s="64"/>
      <c r="N627" s="64"/>
      <c r="O627" s="64"/>
      <c r="P627" s="64"/>
      <c r="Q627" s="24" t="s">
        <v>1974</v>
      </c>
      <c r="R627" s="64"/>
      <c r="S627" s="21" t="s">
        <v>1999</v>
      </c>
      <c r="T627" s="28">
        <v>747.86</v>
      </c>
      <c r="U627" s="27">
        <v>42927</v>
      </c>
      <c r="V627" s="27">
        <v>42927</v>
      </c>
      <c r="W627" s="95">
        <v>0</v>
      </c>
    </row>
    <row r="628" spans="1:23" ht="60" customHeight="1">
      <c r="A628" s="31">
        <v>0</v>
      </c>
      <c r="B628" s="64">
        <v>80204250585</v>
      </c>
      <c r="C628" s="21" t="s">
        <v>83</v>
      </c>
      <c r="D628" s="21" t="s">
        <v>2000</v>
      </c>
      <c r="E628" s="21" t="s">
        <v>48</v>
      </c>
      <c r="F628" s="21"/>
      <c r="G628" s="66"/>
      <c r="H628" s="64"/>
      <c r="I628" s="64"/>
      <c r="J628" s="36" t="s">
        <v>2001</v>
      </c>
      <c r="K628" s="64"/>
      <c r="L628" s="21" t="s">
        <v>2002</v>
      </c>
      <c r="M628" s="64"/>
      <c r="N628" s="66"/>
      <c r="O628" s="64"/>
      <c r="P628" s="64"/>
      <c r="Q628" s="37" t="s">
        <v>2001</v>
      </c>
      <c r="R628" s="64"/>
      <c r="S628" s="21" t="s">
        <v>2002</v>
      </c>
      <c r="T628" s="28">
        <v>1790</v>
      </c>
      <c r="U628" s="27">
        <v>42968</v>
      </c>
      <c r="V628" s="27">
        <v>42979</v>
      </c>
      <c r="W628" s="95">
        <v>0</v>
      </c>
    </row>
    <row r="629" spans="1:23" ht="30" customHeight="1">
      <c r="A629" s="31">
        <v>0</v>
      </c>
      <c r="B629" s="64">
        <v>80204250585</v>
      </c>
      <c r="C629" s="21" t="s">
        <v>83</v>
      </c>
      <c r="D629" s="21" t="s">
        <v>2003</v>
      </c>
      <c r="E629" s="21" t="s">
        <v>48</v>
      </c>
      <c r="F629" s="21"/>
      <c r="G629" s="66"/>
      <c r="H629" s="64"/>
      <c r="I629" s="64"/>
      <c r="J629" s="23" t="s">
        <v>2004</v>
      </c>
      <c r="K629" s="64"/>
      <c r="L629" s="21" t="s">
        <v>2005</v>
      </c>
      <c r="M629" s="64"/>
      <c r="N629" s="66"/>
      <c r="O629" s="64"/>
      <c r="P629" s="64"/>
      <c r="Q629" s="23" t="s">
        <v>2004</v>
      </c>
      <c r="R629" s="64"/>
      <c r="S629" s="21" t="s">
        <v>2005</v>
      </c>
      <c r="T629" s="28">
        <v>500</v>
      </c>
      <c r="U629" s="27">
        <v>43035</v>
      </c>
      <c r="V629" s="27">
        <v>43035</v>
      </c>
      <c r="W629" s="95">
        <v>0</v>
      </c>
    </row>
    <row r="630" spans="1:23" ht="75" customHeight="1">
      <c r="A630" s="31" t="s">
        <v>2006</v>
      </c>
      <c r="B630" s="64">
        <v>80204250585</v>
      </c>
      <c r="C630" s="21" t="s">
        <v>83</v>
      </c>
      <c r="D630" s="21" t="s">
        <v>2007</v>
      </c>
      <c r="E630" s="21" t="s">
        <v>48</v>
      </c>
      <c r="F630" s="21"/>
      <c r="G630" s="66"/>
      <c r="H630" s="64"/>
      <c r="I630" s="64"/>
      <c r="J630" s="23" t="s">
        <v>2008</v>
      </c>
      <c r="K630" s="64"/>
      <c r="L630" s="21" t="s">
        <v>2009</v>
      </c>
      <c r="M630" s="64"/>
      <c r="N630" s="66"/>
      <c r="O630" s="64"/>
      <c r="P630" s="64"/>
      <c r="Q630" s="24" t="s">
        <v>2008</v>
      </c>
      <c r="R630" s="64"/>
      <c r="S630" s="21" t="s">
        <v>2009</v>
      </c>
      <c r="T630" s="28">
        <v>2562</v>
      </c>
      <c r="U630" s="27">
        <v>43070</v>
      </c>
      <c r="V630" s="27">
        <v>43434</v>
      </c>
      <c r="W630" s="95">
        <v>640.5</v>
      </c>
    </row>
    <row r="631" spans="1:23" ht="60" customHeight="1">
      <c r="A631" s="31" t="s">
        <v>2010</v>
      </c>
      <c r="B631" s="64">
        <v>80204250585</v>
      </c>
      <c r="C631" s="21" t="s">
        <v>83</v>
      </c>
      <c r="D631" s="21" t="s">
        <v>2011</v>
      </c>
      <c r="E631" s="21" t="s">
        <v>48</v>
      </c>
      <c r="F631" s="21"/>
      <c r="G631" s="66"/>
      <c r="H631" s="64"/>
      <c r="I631" s="64"/>
      <c r="J631" s="23" t="s">
        <v>2012</v>
      </c>
      <c r="K631" s="64"/>
      <c r="L631" s="21" t="s">
        <v>2013</v>
      </c>
      <c r="M631" s="64"/>
      <c r="N631" s="66"/>
      <c r="O631" s="64"/>
      <c r="P631" s="64"/>
      <c r="Q631" s="24" t="s">
        <v>220</v>
      </c>
      <c r="R631" s="64"/>
      <c r="S631" s="21" t="s">
        <v>2013</v>
      </c>
      <c r="T631" s="28">
        <v>5563.2</v>
      </c>
      <c r="U631" s="27">
        <v>43180</v>
      </c>
      <c r="V631" s="27">
        <v>43244</v>
      </c>
      <c r="W631" s="95">
        <v>0</v>
      </c>
    </row>
    <row r="632" spans="1:23" ht="75" customHeight="1">
      <c r="A632" s="31" t="s">
        <v>666</v>
      </c>
      <c r="B632" s="64">
        <v>80204250585</v>
      </c>
      <c r="C632" s="21" t="s">
        <v>83</v>
      </c>
      <c r="D632" s="21" t="s">
        <v>2014</v>
      </c>
      <c r="E632" s="21" t="s">
        <v>48</v>
      </c>
      <c r="F632" s="21"/>
      <c r="G632" s="66"/>
      <c r="H632" s="64"/>
      <c r="I632" s="64"/>
      <c r="J632" s="23" t="s">
        <v>2012</v>
      </c>
      <c r="K632" s="64"/>
      <c r="L632" s="21" t="s">
        <v>2013</v>
      </c>
      <c r="M632" s="64"/>
      <c r="N632" s="66"/>
      <c r="O632" s="64"/>
      <c r="P632" s="64"/>
      <c r="Q632" s="24" t="s">
        <v>220</v>
      </c>
      <c r="R632" s="64"/>
      <c r="S632" s="21" t="s">
        <v>2013</v>
      </c>
      <c r="T632" s="28">
        <v>4123.6000000000004</v>
      </c>
      <c r="U632" s="27">
        <v>43191</v>
      </c>
      <c r="V632" s="27">
        <v>44286</v>
      </c>
      <c r="W632" s="95">
        <v>4123.6000000000004</v>
      </c>
    </row>
    <row r="633" spans="1:23" ht="45" customHeight="1">
      <c r="A633" s="31">
        <v>0</v>
      </c>
      <c r="B633" s="64">
        <v>80204250585</v>
      </c>
      <c r="C633" s="21" t="s">
        <v>83</v>
      </c>
      <c r="D633" s="21" t="s">
        <v>2015</v>
      </c>
      <c r="E633" s="21" t="s">
        <v>48</v>
      </c>
      <c r="F633" s="21"/>
      <c r="G633" s="66"/>
      <c r="H633" s="64"/>
      <c r="I633" s="64"/>
      <c r="J633" s="23" t="s">
        <v>2016</v>
      </c>
      <c r="K633" s="64"/>
      <c r="L633" s="21" t="s">
        <v>2017</v>
      </c>
      <c r="M633" s="64"/>
      <c r="N633" s="66"/>
      <c r="O633" s="64"/>
      <c r="P633" s="64"/>
      <c r="Q633" s="24" t="s">
        <v>2016</v>
      </c>
      <c r="R633" s="64"/>
      <c r="S633" s="21" t="s">
        <v>2017</v>
      </c>
      <c r="T633" s="28">
        <v>430</v>
      </c>
      <c r="U633" s="27">
        <v>43258</v>
      </c>
      <c r="V633" s="27">
        <v>43259</v>
      </c>
      <c r="W633" s="95">
        <v>0</v>
      </c>
    </row>
    <row r="634" spans="1:23" ht="90" customHeight="1">
      <c r="A634" s="31">
        <v>0</v>
      </c>
      <c r="B634" s="64">
        <v>80204250585</v>
      </c>
      <c r="C634" s="21" t="s">
        <v>83</v>
      </c>
      <c r="D634" s="21" t="s">
        <v>2018</v>
      </c>
      <c r="E634" s="21" t="s">
        <v>48</v>
      </c>
      <c r="F634" s="21"/>
      <c r="G634" s="66"/>
      <c r="H634" s="64"/>
      <c r="I634" s="64"/>
      <c r="J634" s="23" t="s">
        <v>2019</v>
      </c>
      <c r="K634" s="64"/>
      <c r="L634" s="21" t="s">
        <v>2020</v>
      </c>
      <c r="M634" s="64"/>
      <c r="N634" s="66"/>
      <c r="O634" s="64"/>
      <c r="P634" s="64"/>
      <c r="Q634" s="24" t="s">
        <v>2019</v>
      </c>
      <c r="R634" s="64"/>
      <c r="S634" s="21" t="s">
        <v>2020</v>
      </c>
      <c r="T634" s="28">
        <v>600</v>
      </c>
      <c r="U634" s="27">
        <v>43354</v>
      </c>
      <c r="V634" s="27">
        <v>43357</v>
      </c>
      <c r="W634" s="95">
        <v>0</v>
      </c>
    </row>
    <row r="635" spans="1:23" ht="60" customHeight="1">
      <c r="A635" s="31">
        <v>0</v>
      </c>
      <c r="B635" s="64">
        <v>80204250585</v>
      </c>
      <c r="C635" s="21" t="s">
        <v>83</v>
      </c>
      <c r="D635" s="21" t="s">
        <v>2021</v>
      </c>
      <c r="E635" s="21" t="s">
        <v>48</v>
      </c>
      <c r="F635" s="21"/>
      <c r="G635" s="66"/>
      <c r="H635" s="64"/>
      <c r="I635" s="64"/>
      <c r="J635" s="23" t="s">
        <v>2022</v>
      </c>
      <c r="K635" s="64"/>
      <c r="L635" s="21" t="s">
        <v>2023</v>
      </c>
      <c r="M635" s="64"/>
      <c r="N635" s="66"/>
      <c r="O635" s="64"/>
      <c r="P635" s="64"/>
      <c r="Q635" s="23" t="s">
        <v>2022</v>
      </c>
      <c r="R635" s="64"/>
      <c r="S635" s="21" t="s">
        <v>2023</v>
      </c>
      <c r="T635" s="28">
        <v>300</v>
      </c>
      <c r="U635" s="27">
        <v>43364</v>
      </c>
      <c r="V635" s="27">
        <v>43364</v>
      </c>
      <c r="W635" s="95">
        <v>0</v>
      </c>
    </row>
    <row r="636" spans="1:23" ht="60" customHeight="1">
      <c r="A636" s="31">
        <v>0</v>
      </c>
      <c r="B636" s="64">
        <v>80204250585</v>
      </c>
      <c r="C636" s="21" t="s">
        <v>83</v>
      </c>
      <c r="D636" s="21" t="s">
        <v>2021</v>
      </c>
      <c r="E636" s="21" t="s">
        <v>48</v>
      </c>
      <c r="F636" s="21"/>
      <c r="G636" s="66"/>
      <c r="H636" s="64"/>
      <c r="I636" s="64"/>
      <c r="J636" s="23" t="s">
        <v>2024</v>
      </c>
      <c r="K636" s="64"/>
      <c r="L636" s="21" t="s">
        <v>2025</v>
      </c>
      <c r="M636" s="64"/>
      <c r="N636" s="66"/>
      <c r="O636" s="64"/>
      <c r="P636" s="64"/>
      <c r="Q636" s="23" t="s">
        <v>2024</v>
      </c>
      <c r="R636" s="64"/>
      <c r="S636" s="21" t="s">
        <v>2025</v>
      </c>
      <c r="T636" s="28">
        <v>500</v>
      </c>
      <c r="U636" s="27">
        <v>43420</v>
      </c>
      <c r="V636" s="27">
        <v>43420</v>
      </c>
      <c r="W636" s="95">
        <v>0</v>
      </c>
    </row>
    <row r="637" spans="1:23" ht="60" customHeight="1">
      <c r="A637" s="31">
        <v>0</v>
      </c>
      <c r="B637" s="64">
        <v>80204250585</v>
      </c>
      <c r="C637" s="21" t="s">
        <v>83</v>
      </c>
      <c r="D637" s="21" t="s">
        <v>2021</v>
      </c>
      <c r="E637" s="21" t="s">
        <v>48</v>
      </c>
      <c r="F637" s="21"/>
      <c r="G637" s="66"/>
      <c r="H637" s="64"/>
      <c r="I637" s="64"/>
      <c r="J637" s="23" t="s">
        <v>2026</v>
      </c>
      <c r="K637" s="64"/>
      <c r="L637" s="21" t="s">
        <v>2027</v>
      </c>
      <c r="M637" s="64"/>
      <c r="N637" s="66"/>
      <c r="O637" s="64"/>
      <c r="P637" s="64"/>
      <c r="Q637" s="23" t="s">
        <v>2026</v>
      </c>
      <c r="R637" s="64"/>
      <c r="S637" s="21" t="s">
        <v>2027</v>
      </c>
      <c r="T637" s="28">
        <v>200</v>
      </c>
      <c r="U637" s="27">
        <v>43451</v>
      </c>
      <c r="V637" s="27">
        <v>43451</v>
      </c>
      <c r="W637" s="95">
        <v>0</v>
      </c>
    </row>
    <row r="638" spans="1:23" ht="45" customHeight="1">
      <c r="A638" s="31">
        <v>0</v>
      </c>
      <c r="B638" s="64">
        <v>80204250585</v>
      </c>
      <c r="C638" s="21" t="s">
        <v>83</v>
      </c>
      <c r="D638" s="21" t="s">
        <v>2028</v>
      </c>
      <c r="E638" s="21" t="s">
        <v>48</v>
      </c>
      <c r="F638" s="21"/>
      <c r="G638" s="66"/>
      <c r="H638" s="64"/>
      <c r="I638" s="64"/>
      <c r="J638" s="23" t="s">
        <v>2029</v>
      </c>
      <c r="K638" s="64"/>
      <c r="L638" s="21" t="s">
        <v>2030</v>
      </c>
      <c r="M638" s="64"/>
      <c r="N638" s="64"/>
      <c r="O638" s="64"/>
      <c r="P638" s="64"/>
      <c r="Q638" s="24" t="s">
        <v>2029</v>
      </c>
      <c r="R638" s="64"/>
      <c r="S638" s="21" t="s">
        <v>2030</v>
      </c>
      <c r="T638" s="28">
        <v>41</v>
      </c>
      <c r="U638" s="27">
        <v>43483</v>
      </c>
      <c r="V638" s="27">
        <v>43737</v>
      </c>
      <c r="W638" s="95">
        <v>0</v>
      </c>
    </row>
    <row r="639" spans="1:23" ht="45" customHeight="1">
      <c r="A639" s="31" t="s">
        <v>2031</v>
      </c>
      <c r="B639" s="64">
        <v>80204250585</v>
      </c>
      <c r="C639" s="21" t="s">
        <v>83</v>
      </c>
      <c r="D639" s="21" t="s">
        <v>2032</v>
      </c>
      <c r="E639" s="21" t="s">
        <v>48</v>
      </c>
      <c r="F639" s="21"/>
      <c r="G639" s="66"/>
      <c r="H639" s="64"/>
      <c r="I639" s="64"/>
      <c r="J639" s="23" t="s">
        <v>2033</v>
      </c>
      <c r="K639" s="64"/>
      <c r="L639" s="21" t="s">
        <v>2034</v>
      </c>
      <c r="M639" s="64"/>
      <c r="N639" s="66"/>
      <c r="O639" s="64"/>
      <c r="P639" s="64"/>
      <c r="Q639" s="24" t="s">
        <v>2033</v>
      </c>
      <c r="R639" s="64"/>
      <c r="S639" s="21" t="s">
        <v>2034</v>
      </c>
      <c r="T639" s="28">
        <v>4200</v>
      </c>
      <c r="U639" s="27">
        <v>43435</v>
      </c>
      <c r="V639" s="27">
        <v>44165</v>
      </c>
      <c r="W639" s="95">
        <v>0</v>
      </c>
    </row>
    <row r="640" spans="1:23" ht="60" customHeight="1">
      <c r="A640" s="31" t="s">
        <v>2035</v>
      </c>
      <c r="B640" s="64">
        <v>80204250585</v>
      </c>
      <c r="C640" s="21" t="s">
        <v>83</v>
      </c>
      <c r="D640" s="21" t="s">
        <v>2036</v>
      </c>
      <c r="E640" s="21" t="s">
        <v>48</v>
      </c>
      <c r="F640" s="21"/>
      <c r="G640" s="66"/>
      <c r="H640" s="64"/>
      <c r="I640" s="64"/>
      <c r="J640" s="23" t="s">
        <v>220</v>
      </c>
      <c r="K640" s="64"/>
      <c r="L640" s="21" t="s">
        <v>2037</v>
      </c>
      <c r="M640" s="64"/>
      <c r="N640" s="64"/>
      <c r="O640" s="64"/>
      <c r="P640" s="64"/>
      <c r="Q640" s="24" t="s">
        <v>220</v>
      </c>
      <c r="R640" s="64"/>
      <c r="S640" s="21" t="s">
        <v>2037</v>
      </c>
      <c r="T640" s="28">
        <v>11680</v>
      </c>
      <c r="U640" s="27">
        <v>43221</v>
      </c>
      <c r="V640" s="27">
        <v>43830</v>
      </c>
      <c r="W640" s="95">
        <v>0</v>
      </c>
    </row>
    <row r="641" spans="1:23" ht="75" customHeight="1">
      <c r="A641" s="31" t="s">
        <v>2038</v>
      </c>
      <c r="B641" s="64">
        <v>80204250585</v>
      </c>
      <c r="C641" s="21" t="s">
        <v>83</v>
      </c>
      <c r="D641" s="21" t="s">
        <v>2039</v>
      </c>
      <c r="E641" s="21" t="s">
        <v>48</v>
      </c>
      <c r="F641" s="21"/>
      <c r="G641" s="66"/>
      <c r="H641" s="64"/>
      <c r="I641" s="64"/>
      <c r="J641" s="23" t="s">
        <v>2040</v>
      </c>
      <c r="K641" s="64"/>
      <c r="L641" s="21" t="s">
        <v>2041</v>
      </c>
      <c r="M641" s="64"/>
      <c r="N641" s="66"/>
      <c r="O641" s="64"/>
      <c r="P641" s="64"/>
      <c r="Q641" s="24" t="s">
        <v>2040</v>
      </c>
      <c r="R641" s="64"/>
      <c r="S641" s="21" t="s">
        <v>2041</v>
      </c>
      <c r="T641" s="28">
        <v>2166.15</v>
      </c>
      <c r="U641" s="27">
        <v>43444</v>
      </c>
      <c r="V641" s="27">
        <v>43444</v>
      </c>
      <c r="W641" s="95">
        <v>0</v>
      </c>
    </row>
    <row r="642" spans="1:23" ht="45" customHeight="1">
      <c r="A642" s="31">
        <v>0</v>
      </c>
      <c r="B642" s="64">
        <v>80204250585</v>
      </c>
      <c r="C642" s="21" t="s">
        <v>83</v>
      </c>
      <c r="D642" s="21" t="s">
        <v>2042</v>
      </c>
      <c r="E642" s="21" t="s">
        <v>48</v>
      </c>
      <c r="F642" s="21"/>
      <c r="G642" s="66"/>
      <c r="H642" s="64"/>
      <c r="I642" s="64"/>
      <c r="J642" s="23" t="s">
        <v>1986</v>
      </c>
      <c r="K642" s="64"/>
      <c r="L642" s="21" t="s">
        <v>1987</v>
      </c>
      <c r="M642" s="64"/>
      <c r="N642" s="66"/>
      <c r="O642" s="64"/>
      <c r="P642" s="64"/>
      <c r="Q642" s="24" t="s">
        <v>1986</v>
      </c>
      <c r="R642" s="64"/>
      <c r="S642" s="21" t="s">
        <v>1987</v>
      </c>
      <c r="T642" s="28">
        <v>2646</v>
      </c>
      <c r="U642" s="27">
        <v>43497</v>
      </c>
      <c r="V642" s="27">
        <v>43830</v>
      </c>
      <c r="W642" s="28">
        <v>2646</v>
      </c>
    </row>
    <row r="643" spans="1:23" ht="45" customHeight="1">
      <c r="A643" s="31">
        <v>0</v>
      </c>
      <c r="B643" s="64">
        <v>80204250585</v>
      </c>
      <c r="C643" s="21" t="s">
        <v>83</v>
      </c>
      <c r="D643" s="21" t="s">
        <v>2042</v>
      </c>
      <c r="E643" s="21" t="s">
        <v>48</v>
      </c>
      <c r="F643" s="21"/>
      <c r="G643" s="64"/>
      <c r="H643" s="64"/>
      <c r="I643" s="64"/>
      <c r="J643" s="23" t="s">
        <v>1986</v>
      </c>
      <c r="K643" s="64"/>
      <c r="L643" s="21" t="s">
        <v>1987</v>
      </c>
      <c r="M643" s="64"/>
      <c r="N643" s="64"/>
      <c r="O643" s="64"/>
      <c r="P643" s="64"/>
      <c r="Q643" s="24" t="s">
        <v>1986</v>
      </c>
      <c r="R643" s="64"/>
      <c r="S643" s="21" t="s">
        <v>1987</v>
      </c>
      <c r="T643" s="28">
        <v>2646</v>
      </c>
      <c r="U643" s="27">
        <v>43497</v>
      </c>
      <c r="V643" s="27">
        <v>43830</v>
      </c>
      <c r="W643" s="28">
        <v>2646</v>
      </c>
    </row>
    <row r="644" spans="1:23" ht="120" customHeight="1">
      <c r="A644" s="31" t="s">
        <v>2043</v>
      </c>
      <c r="B644" s="64">
        <v>80204250585</v>
      </c>
      <c r="C644" s="21" t="s">
        <v>83</v>
      </c>
      <c r="D644" s="21" t="s">
        <v>2044</v>
      </c>
      <c r="E644" s="21" t="s">
        <v>48</v>
      </c>
      <c r="F644" s="21"/>
      <c r="G644" s="66"/>
      <c r="H644" s="64"/>
      <c r="I644" s="64"/>
      <c r="J644" s="23" t="s">
        <v>2045</v>
      </c>
      <c r="K644" s="64"/>
      <c r="L644" s="21" t="s">
        <v>2046</v>
      </c>
      <c r="M644" s="64"/>
      <c r="N644" s="66"/>
      <c r="O644" s="64"/>
      <c r="P644" s="64"/>
      <c r="Q644" s="24" t="s">
        <v>2045</v>
      </c>
      <c r="R644" s="64"/>
      <c r="S644" s="21" t="s">
        <v>2046</v>
      </c>
      <c r="T644" s="28">
        <v>6000</v>
      </c>
      <c r="U644" s="27">
        <v>43521</v>
      </c>
      <c r="V644" s="27">
        <v>43525</v>
      </c>
      <c r="W644" s="95">
        <v>0</v>
      </c>
    </row>
    <row r="645" spans="1:23" ht="60" customHeight="1">
      <c r="A645" s="31">
        <v>0</v>
      </c>
      <c r="B645" s="64">
        <v>80204250585</v>
      </c>
      <c r="C645" s="21" t="s">
        <v>83</v>
      </c>
      <c r="D645" s="21" t="s">
        <v>2021</v>
      </c>
      <c r="E645" s="21" t="s">
        <v>48</v>
      </c>
      <c r="F645" s="21"/>
      <c r="G645" s="66"/>
      <c r="H645" s="64"/>
      <c r="I645" s="64"/>
      <c r="J645" s="23" t="s">
        <v>2047</v>
      </c>
      <c r="K645" s="64"/>
      <c r="L645" s="21" t="s">
        <v>2048</v>
      </c>
      <c r="M645" s="64"/>
      <c r="N645" s="64"/>
      <c r="O645" s="64"/>
      <c r="P645" s="64"/>
      <c r="Q645" s="23" t="s">
        <v>2047</v>
      </c>
      <c r="R645" s="64"/>
      <c r="S645" s="21" t="s">
        <v>2048</v>
      </c>
      <c r="T645" s="28">
        <v>700</v>
      </c>
      <c r="U645" s="27">
        <v>43564</v>
      </c>
      <c r="V645" s="27">
        <v>43564</v>
      </c>
      <c r="W645" s="95">
        <v>99</v>
      </c>
    </row>
    <row r="646" spans="1:23" ht="150" customHeight="1">
      <c r="A646" s="31">
        <v>0</v>
      </c>
      <c r="B646" s="64">
        <v>80204250585</v>
      </c>
      <c r="C646" s="21" t="s">
        <v>83</v>
      </c>
      <c r="D646" s="21" t="s">
        <v>2049</v>
      </c>
      <c r="E646" s="21" t="s">
        <v>48</v>
      </c>
      <c r="F646" s="21"/>
      <c r="G646" s="66"/>
      <c r="H646" s="64"/>
      <c r="I646" s="64"/>
      <c r="J646" s="23" t="s">
        <v>2016</v>
      </c>
      <c r="K646" s="64"/>
      <c r="L646" s="21" t="s">
        <v>2017</v>
      </c>
      <c r="M646" s="64"/>
      <c r="N646" s="64"/>
      <c r="O646" s="64"/>
      <c r="P646" s="64"/>
      <c r="Q646" s="24" t="s">
        <v>2016</v>
      </c>
      <c r="R646" s="64"/>
      <c r="S646" s="21" t="s">
        <v>2017</v>
      </c>
      <c r="T646" s="28">
        <v>320</v>
      </c>
      <c r="U646" s="27">
        <v>43634</v>
      </c>
      <c r="V646" s="27">
        <v>43634</v>
      </c>
      <c r="W646" s="95">
        <v>0</v>
      </c>
    </row>
    <row r="647" spans="1:23" ht="75" customHeight="1">
      <c r="A647" s="31">
        <v>0</v>
      </c>
      <c r="B647" s="64">
        <v>80204250585</v>
      </c>
      <c r="C647" s="21" t="s">
        <v>83</v>
      </c>
      <c r="D647" s="21" t="s">
        <v>2050</v>
      </c>
      <c r="E647" s="21" t="s">
        <v>48</v>
      </c>
      <c r="F647" s="21"/>
      <c r="G647" s="66"/>
      <c r="H647" s="64"/>
      <c r="I647" s="64"/>
      <c r="J647" s="23" t="s">
        <v>2051</v>
      </c>
      <c r="K647" s="64"/>
      <c r="L647" s="21" t="s">
        <v>2052</v>
      </c>
      <c r="M647" s="64"/>
      <c r="N647" s="66"/>
      <c r="O647" s="64"/>
      <c r="P647" s="64"/>
      <c r="Q647" s="24" t="s">
        <v>2051</v>
      </c>
      <c r="R647" s="64"/>
      <c r="S647" s="21" t="s">
        <v>2052</v>
      </c>
      <c r="T647" s="28">
        <v>460</v>
      </c>
      <c r="U647" s="27">
        <v>43620</v>
      </c>
      <c r="V647" s="27">
        <v>43620</v>
      </c>
      <c r="W647" s="95">
        <v>0</v>
      </c>
    </row>
    <row r="648" spans="1:23" ht="60" customHeight="1">
      <c r="A648" s="31">
        <v>0</v>
      </c>
      <c r="B648" s="64">
        <v>80204250585</v>
      </c>
      <c r="C648" s="21" t="s">
        <v>83</v>
      </c>
      <c r="D648" s="21" t="s">
        <v>2053</v>
      </c>
      <c r="E648" s="21" t="s">
        <v>48</v>
      </c>
      <c r="F648" s="21"/>
      <c r="G648" s="66"/>
      <c r="H648" s="64"/>
      <c r="I648" s="64"/>
      <c r="J648" s="23" t="s">
        <v>2051</v>
      </c>
      <c r="K648" s="64"/>
      <c r="L648" s="21" t="s">
        <v>2052</v>
      </c>
      <c r="M648" s="64"/>
      <c r="N648" s="66"/>
      <c r="O648" s="64"/>
      <c r="P648" s="64"/>
      <c r="Q648" s="24" t="s">
        <v>2051</v>
      </c>
      <c r="R648" s="64"/>
      <c r="S648" s="21" t="s">
        <v>2052</v>
      </c>
      <c r="T648" s="28">
        <v>460</v>
      </c>
      <c r="U648" s="27">
        <v>43642</v>
      </c>
      <c r="V648" s="27">
        <v>43642</v>
      </c>
      <c r="W648" s="95">
        <v>0</v>
      </c>
    </row>
    <row r="649" spans="1:23" ht="60" customHeight="1">
      <c r="A649" s="31">
        <v>0</v>
      </c>
      <c r="B649" s="64">
        <v>80204250585</v>
      </c>
      <c r="C649" s="21" t="s">
        <v>83</v>
      </c>
      <c r="D649" s="21" t="s">
        <v>2021</v>
      </c>
      <c r="E649" s="21" t="s">
        <v>48</v>
      </c>
      <c r="F649" s="21"/>
      <c r="G649" s="66"/>
      <c r="H649" s="64"/>
      <c r="I649" s="64"/>
      <c r="J649" s="23" t="s">
        <v>2054</v>
      </c>
      <c r="K649" s="64"/>
      <c r="L649" s="21" t="s">
        <v>2055</v>
      </c>
      <c r="M649" s="64"/>
      <c r="N649" s="64"/>
      <c r="O649" s="64"/>
      <c r="P649" s="64"/>
      <c r="Q649" s="23" t="s">
        <v>2054</v>
      </c>
      <c r="R649" s="64"/>
      <c r="S649" s="21" t="s">
        <v>2055</v>
      </c>
      <c r="T649" s="28">
        <v>400</v>
      </c>
      <c r="U649" s="27">
        <v>43637</v>
      </c>
      <c r="V649" s="27">
        <v>43637</v>
      </c>
      <c r="W649" s="95">
        <v>0</v>
      </c>
    </row>
    <row r="650" spans="1:23" ht="60" customHeight="1">
      <c r="A650" s="31" t="s">
        <v>2056</v>
      </c>
      <c r="B650" s="64">
        <v>80204250585</v>
      </c>
      <c r="C650" s="21" t="s">
        <v>83</v>
      </c>
      <c r="D650" s="21" t="s">
        <v>2057</v>
      </c>
      <c r="E650" s="21" t="s">
        <v>48</v>
      </c>
      <c r="F650" s="21"/>
      <c r="G650" s="66"/>
      <c r="H650" s="64"/>
      <c r="I650" s="64"/>
      <c r="J650" s="23" t="s">
        <v>2058</v>
      </c>
      <c r="K650" s="64"/>
      <c r="L650" s="21" t="s">
        <v>2059</v>
      </c>
      <c r="M650" s="64"/>
      <c r="N650" s="66"/>
      <c r="O650" s="64"/>
      <c r="P650" s="64"/>
      <c r="Q650" s="24" t="s">
        <v>2058</v>
      </c>
      <c r="R650" s="64"/>
      <c r="S650" s="21" t="s">
        <v>2059</v>
      </c>
      <c r="T650" s="28">
        <v>1110.9000000000001</v>
      </c>
      <c r="U650" s="27">
        <v>43647</v>
      </c>
      <c r="V650" s="27">
        <v>44013</v>
      </c>
      <c r="W650" s="95">
        <v>0</v>
      </c>
    </row>
    <row r="651" spans="1:23" ht="60" customHeight="1">
      <c r="A651" s="31">
        <v>0</v>
      </c>
      <c r="B651" s="64">
        <v>80204250585</v>
      </c>
      <c r="C651" s="21" t="s">
        <v>83</v>
      </c>
      <c r="D651" s="21" t="s">
        <v>2060</v>
      </c>
      <c r="E651" s="21" t="s">
        <v>48</v>
      </c>
      <c r="F651" s="21"/>
      <c r="G651" s="66"/>
      <c r="H651" s="64"/>
      <c r="I651" s="64"/>
      <c r="J651" s="23" t="s">
        <v>2061</v>
      </c>
      <c r="K651" s="64"/>
      <c r="L651" s="21" t="s">
        <v>2062</v>
      </c>
      <c r="M651" s="64"/>
      <c r="N651" s="64"/>
      <c r="O651" s="64"/>
      <c r="P651" s="64"/>
      <c r="Q651" s="23" t="s">
        <v>2061</v>
      </c>
      <c r="R651" s="64"/>
      <c r="S651" s="21" t="s">
        <v>2062</v>
      </c>
      <c r="T651" s="28">
        <v>600</v>
      </c>
      <c r="U651" s="27">
        <v>43637</v>
      </c>
      <c r="V651" s="27">
        <v>43637</v>
      </c>
      <c r="W651" s="95">
        <v>0</v>
      </c>
    </row>
    <row r="652" spans="1:23" ht="60" customHeight="1">
      <c r="A652" s="31">
        <v>0</v>
      </c>
      <c r="B652" s="64">
        <v>80204250585</v>
      </c>
      <c r="C652" s="21" t="s">
        <v>83</v>
      </c>
      <c r="D652" s="21" t="s">
        <v>2060</v>
      </c>
      <c r="E652" s="21" t="s">
        <v>48</v>
      </c>
      <c r="F652" s="21"/>
      <c r="G652" s="66"/>
      <c r="H652" s="64"/>
      <c r="I652" s="64"/>
      <c r="J652" s="23" t="s">
        <v>2063</v>
      </c>
      <c r="K652" s="64"/>
      <c r="L652" s="21" t="s">
        <v>2064</v>
      </c>
      <c r="M652" s="64"/>
      <c r="N652" s="64"/>
      <c r="O652" s="64"/>
      <c r="P652" s="64"/>
      <c r="Q652" s="23" t="s">
        <v>2063</v>
      </c>
      <c r="R652" s="64"/>
      <c r="S652" s="21" t="s">
        <v>2064</v>
      </c>
      <c r="T652" s="28">
        <v>600</v>
      </c>
      <c r="U652" s="27">
        <v>43720</v>
      </c>
      <c r="V652" s="27">
        <v>43720</v>
      </c>
      <c r="W652" s="95">
        <v>0</v>
      </c>
    </row>
    <row r="653" spans="1:23" ht="60" customHeight="1">
      <c r="A653" s="31">
        <v>0</v>
      </c>
      <c r="B653" s="64">
        <v>80204250585</v>
      </c>
      <c r="C653" s="21" t="s">
        <v>83</v>
      </c>
      <c r="D653" s="21" t="s">
        <v>2065</v>
      </c>
      <c r="E653" s="21" t="s">
        <v>48</v>
      </c>
      <c r="F653" s="21"/>
      <c r="G653" s="66"/>
      <c r="H653" s="64"/>
      <c r="I653" s="64"/>
      <c r="J653" s="23" t="s">
        <v>2066</v>
      </c>
      <c r="K653" s="64"/>
      <c r="L653" s="21" t="s">
        <v>2067</v>
      </c>
      <c r="M653" s="64"/>
      <c r="N653" s="64"/>
      <c r="O653" s="64"/>
      <c r="P653" s="64"/>
      <c r="Q653" s="23" t="s">
        <v>2066</v>
      </c>
      <c r="R653" s="64"/>
      <c r="S653" s="21" t="s">
        <v>2067</v>
      </c>
      <c r="T653" s="28">
        <v>16000</v>
      </c>
      <c r="U653" s="27">
        <v>43738</v>
      </c>
      <c r="V653" s="27">
        <v>43928</v>
      </c>
      <c r="W653" s="95">
        <v>16000</v>
      </c>
    </row>
    <row r="654" spans="1:23" ht="60" customHeight="1">
      <c r="A654" s="31">
        <v>0</v>
      </c>
      <c r="B654" s="64">
        <v>80204250585</v>
      </c>
      <c r="C654" s="21" t="s">
        <v>83</v>
      </c>
      <c r="D654" s="21" t="s">
        <v>2060</v>
      </c>
      <c r="E654" s="21" t="s">
        <v>48</v>
      </c>
      <c r="F654" s="21"/>
      <c r="G654" s="66"/>
      <c r="H654" s="64"/>
      <c r="I654" s="64"/>
      <c r="J654" s="23" t="s">
        <v>2068</v>
      </c>
      <c r="K654" s="64"/>
      <c r="L654" s="21" t="s">
        <v>2069</v>
      </c>
      <c r="M654" s="64"/>
      <c r="N654" s="64"/>
      <c r="O654" s="64"/>
      <c r="P654" s="64"/>
      <c r="Q654" s="23" t="s">
        <v>2068</v>
      </c>
      <c r="R654" s="64"/>
      <c r="S654" s="21" t="s">
        <v>2069</v>
      </c>
      <c r="T654" s="28">
        <v>400</v>
      </c>
      <c r="U654" s="27">
        <v>43728</v>
      </c>
      <c r="V654" s="27">
        <v>43728</v>
      </c>
      <c r="W654" s="95">
        <v>0</v>
      </c>
    </row>
    <row r="655" spans="1:23" ht="30" customHeight="1">
      <c r="A655" s="31">
        <v>0</v>
      </c>
      <c r="B655" s="64">
        <v>80204250585</v>
      </c>
      <c r="C655" s="21" t="s">
        <v>83</v>
      </c>
      <c r="D655" s="21" t="s">
        <v>2070</v>
      </c>
      <c r="E655" s="21" t="s">
        <v>48</v>
      </c>
      <c r="F655" s="21"/>
      <c r="G655" s="66"/>
      <c r="H655" s="64"/>
      <c r="I655" s="64"/>
      <c r="J655" s="23" t="s">
        <v>2071</v>
      </c>
      <c r="K655" s="64"/>
      <c r="L655" s="21" t="s">
        <v>2072</v>
      </c>
      <c r="M655" s="64"/>
      <c r="N655" s="64"/>
      <c r="O655" s="64"/>
      <c r="P655" s="64"/>
      <c r="Q655" s="23" t="s">
        <v>2071</v>
      </c>
      <c r="R655" s="64"/>
      <c r="S655" s="21" t="s">
        <v>2072</v>
      </c>
      <c r="T655" s="28">
        <v>150</v>
      </c>
      <c r="U655" s="27">
        <v>43735</v>
      </c>
      <c r="V655" s="27">
        <v>43735</v>
      </c>
      <c r="W655" s="95">
        <v>0</v>
      </c>
    </row>
    <row r="656" spans="1:23" ht="30" customHeight="1">
      <c r="A656" s="31">
        <v>0</v>
      </c>
      <c r="B656" s="64">
        <v>80204250585</v>
      </c>
      <c r="C656" s="21" t="s">
        <v>83</v>
      </c>
      <c r="D656" s="21" t="s">
        <v>2073</v>
      </c>
      <c r="E656" s="21" t="s">
        <v>48</v>
      </c>
      <c r="F656" s="21"/>
      <c r="G656" s="66"/>
      <c r="H656" s="64"/>
      <c r="I656" s="64"/>
      <c r="J656" s="23" t="s">
        <v>2074</v>
      </c>
      <c r="K656" s="64"/>
      <c r="L656" s="21" t="s">
        <v>2075</v>
      </c>
      <c r="M656" s="64"/>
      <c r="N656" s="64"/>
      <c r="O656" s="64"/>
      <c r="P656" s="64"/>
      <c r="Q656" s="23" t="s">
        <v>2074</v>
      </c>
      <c r="R656" s="64"/>
      <c r="S656" s="21" t="s">
        <v>2075</v>
      </c>
      <c r="T656" s="28">
        <v>330</v>
      </c>
      <c r="U656" s="27">
        <v>43735</v>
      </c>
      <c r="V656" s="27">
        <v>43735</v>
      </c>
      <c r="W656" s="95">
        <v>0</v>
      </c>
    </row>
    <row r="657" spans="1:23" ht="30" customHeight="1">
      <c r="A657" s="31">
        <v>0</v>
      </c>
      <c r="B657" s="64">
        <v>80204250585</v>
      </c>
      <c r="C657" s="21" t="s">
        <v>83</v>
      </c>
      <c r="D657" s="21" t="s">
        <v>2076</v>
      </c>
      <c r="E657" s="21" t="s">
        <v>48</v>
      </c>
      <c r="F657" s="21"/>
      <c r="G657" s="66"/>
      <c r="H657" s="64"/>
      <c r="I657" s="64"/>
      <c r="J657" s="23" t="s">
        <v>2077</v>
      </c>
      <c r="K657" s="64"/>
      <c r="L657" s="21" t="s">
        <v>2078</v>
      </c>
      <c r="M657" s="64"/>
      <c r="N657" s="66"/>
      <c r="O657" s="64"/>
      <c r="P657" s="64"/>
      <c r="Q657" s="24" t="s">
        <v>2077</v>
      </c>
      <c r="R657" s="64"/>
      <c r="S657" s="21" t="s">
        <v>2078</v>
      </c>
      <c r="T657" s="28">
        <v>3700</v>
      </c>
      <c r="U657" s="27">
        <v>43763</v>
      </c>
      <c r="V657" s="27">
        <v>43778</v>
      </c>
      <c r="W657" s="95">
        <v>0</v>
      </c>
    </row>
    <row r="658" spans="1:23" ht="90" customHeight="1">
      <c r="A658" s="30" t="s">
        <v>2079</v>
      </c>
      <c r="B658" s="64">
        <v>80204250585</v>
      </c>
      <c r="C658" s="21" t="s">
        <v>83</v>
      </c>
      <c r="D658" s="22" t="s">
        <v>2080</v>
      </c>
      <c r="E658" s="21" t="s">
        <v>48</v>
      </c>
      <c r="F658" s="22"/>
      <c r="G658" s="66"/>
      <c r="H658" s="66"/>
      <c r="I658" s="66"/>
      <c r="J658" s="23" t="s">
        <v>2012</v>
      </c>
      <c r="K658" s="64"/>
      <c r="L658" s="21" t="s">
        <v>2013</v>
      </c>
      <c r="M658" s="66"/>
      <c r="N658" s="66"/>
      <c r="O658" s="66"/>
      <c r="P658" s="66"/>
      <c r="Q658" s="23" t="s">
        <v>220</v>
      </c>
      <c r="R658" s="64"/>
      <c r="S658" s="21" t="s">
        <v>2013</v>
      </c>
      <c r="T658" s="28">
        <v>2380</v>
      </c>
      <c r="U658" s="27">
        <v>43738</v>
      </c>
      <c r="V658" s="27">
        <v>44101</v>
      </c>
      <c r="W658" s="95">
        <v>0</v>
      </c>
    </row>
    <row r="659" spans="1:23" ht="45" customHeight="1">
      <c r="A659" s="31">
        <v>0</v>
      </c>
      <c r="B659" s="64">
        <v>80204250585</v>
      </c>
      <c r="C659" s="21" t="s">
        <v>83</v>
      </c>
      <c r="D659" s="21" t="s">
        <v>2081</v>
      </c>
      <c r="E659" s="21" t="s">
        <v>48</v>
      </c>
      <c r="F659" s="21"/>
      <c r="G659" s="66"/>
      <c r="H659" s="64"/>
      <c r="I659" s="64"/>
      <c r="J659" s="23" t="s">
        <v>2082</v>
      </c>
      <c r="K659" s="64"/>
      <c r="L659" s="21" t="s">
        <v>2083</v>
      </c>
      <c r="M659" s="64"/>
      <c r="N659" s="66"/>
      <c r="O659" s="64"/>
      <c r="P659" s="64"/>
      <c r="Q659" s="24" t="s">
        <v>2082</v>
      </c>
      <c r="R659" s="64"/>
      <c r="S659" s="21" t="s">
        <v>2083</v>
      </c>
      <c r="T659" s="28">
        <v>1645</v>
      </c>
      <c r="U659" s="27">
        <v>43815</v>
      </c>
      <c r="V659" s="27">
        <v>43817</v>
      </c>
      <c r="W659" s="95">
        <v>0</v>
      </c>
    </row>
    <row r="660" spans="1:23" ht="105" customHeight="1">
      <c r="A660" s="31">
        <v>0</v>
      </c>
      <c r="B660" s="64">
        <v>80204250585</v>
      </c>
      <c r="C660" s="21" t="s">
        <v>83</v>
      </c>
      <c r="D660" s="21" t="s">
        <v>2084</v>
      </c>
      <c r="E660" s="21" t="s">
        <v>48</v>
      </c>
      <c r="F660" s="21"/>
      <c r="G660" s="66"/>
      <c r="H660" s="64"/>
      <c r="I660" s="64"/>
      <c r="J660" s="23" t="s">
        <v>2085</v>
      </c>
      <c r="K660" s="64"/>
      <c r="L660" s="21" t="s">
        <v>2086</v>
      </c>
      <c r="M660" s="64"/>
      <c r="N660" s="66"/>
      <c r="O660" s="64"/>
      <c r="P660" s="64"/>
      <c r="Q660" s="24" t="s">
        <v>2085</v>
      </c>
      <c r="R660" s="64"/>
      <c r="S660" s="21" t="s">
        <v>2086</v>
      </c>
      <c r="T660" s="28">
        <v>1050</v>
      </c>
      <c r="U660" s="27">
        <v>43789</v>
      </c>
      <c r="V660" s="27">
        <v>43789</v>
      </c>
      <c r="W660" s="95">
        <v>1050</v>
      </c>
    </row>
    <row r="661" spans="1:23" ht="30" customHeight="1">
      <c r="A661" s="31">
        <v>0</v>
      </c>
      <c r="B661" s="64">
        <v>80204250585</v>
      </c>
      <c r="C661" s="21" t="s">
        <v>83</v>
      </c>
      <c r="D661" s="21" t="s">
        <v>2087</v>
      </c>
      <c r="E661" s="21" t="s">
        <v>48</v>
      </c>
      <c r="F661" s="21"/>
      <c r="G661" s="66"/>
      <c r="H661" s="64"/>
      <c r="I661" s="64"/>
      <c r="J661" s="23" t="s">
        <v>256</v>
      </c>
      <c r="K661" s="64"/>
      <c r="L661" s="21" t="s">
        <v>2088</v>
      </c>
      <c r="M661" s="64"/>
      <c r="N661" s="66"/>
      <c r="O661" s="64"/>
      <c r="P661" s="64"/>
      <c r="Q661" s="23" t="s">
        <v>256</v>
      </c>
      <c r="R661" s="64"/>
      <c r="S661" s="21" t="s">
        <v>431</v>
      </c>
      <c r="T661" s="28">
        <v>1290</v>
      </c>
      <c r="U661" s="27">
        <v>43759</v>
      </c>
      <c r="V661" s="27">
        <v>43761</v>
      </c>
      <c r="W661" s="95">
        <v>1290</v>
      </c>
    </row>
    <row r="662" spans="1:23" ht="60" customHeight="1">
      <c r="A662" s="31" t="s">
        <v>2089</v>
      </c>
      <c r="B662" s="64">
        <v>80204250585</v>
      </c>
      <c r="C662" s="21" t="s">
        <v>83</v>
      </c>
      <c r="D662" s="21" t="s">
        <v>2090</v>
      </c>
      <c r="E662" s="21" t="s">
        <v>48</v>
      </c>
      <c r="F662" s="21"/>
      <c r="G662" s="66"/>
      <c r="H662" s="64"/>
      <c r="I662" s="64"/>
      <c r="J662" s="23" t="s">
        <v>2091</v>
      </c>
      <c r="K662" s="64"/>
      <c r="L662" s="21" t="s">
        <v>2092</v>
      </c>
      <c r="M662" s="64"/>
      <c r="N662" s="66"/>
      <c r="O662" s="64"/>
      <c r="P662" s="64"/>
      <c r="Q662" s="23" t="s">
        <v>2091</v>
      </c>
      <c r="R662" s="64"/>
      <c r="S662" s="21" t="s">
        <v>2092</v>
      </c>
      <c r="T662" s="28">
        <v>4800</v>
      </c>
      <c r="U662" s="27">
        <v>43748</v>
      </c>
      <c r="V662" s="27">
        <v>43748</v>
      </c>
      <c r="W662" s="95">
        <v>4800</v>
      </c>
    </row>
    <row r="663" spans="1:23" ht="120" customHeight="1">
      <c r="A663" s="31">
        <v>0</v>
      </c>
      <c r="B663" s="64">
        <v>80204250585</v>
      </c>
      <c r="C663" s="21" t="s">
        <v>83</v>
      </c>
      <c r="D663" s="21" t="s">
        <v>2093</v>
      </c>
      <c r="E663" s="21" t="s">
        <v>48</v>
      </c>
      <c r="F663" s="21"/>
      <c r="G663" s="66"/>
      <c r="H663" s="64"/>
      <c r="I663" s="64"/>
      <c r="J663" s="23" t="s">
        <v>2051</v>
      </c>
      <c r="K663" s="64"/>
      <c r="L663" s="21" t="s">
        <v>2052</v>
      </c>
      <c r="M663" s="64"/>
      <c r="N663" s="66"/>
      <c r="O663" s="64"/>
      <c r="P663" s="64"/>
      <c r="Q663" s="24" t="s">
        <v>2051</v>
      </c>
      <c r="R663" s="64"/>
      <c r="S663" s="21" t="s">
        <v>2052</v>
      </c>
      <c r="T663" s="28">
        <v>400</v>
      </c>
      <c r="U663" s="27">
        <v>43802</v>
      </c>
      <c r="V663" s="27">
        <v>43802</v>
      </c>
      <c r="W663" s="95">
        <v>400</v>
      </c>
    </row>
    <row r="664" spans="1:23" ht="120" customHeight="1">
      <c r="A664" s="31">
        <v>0</v>
      </c>
      <c r="B664" s="64">
        <v>80204250585</v>
      </c>
      <c r="C664" s="21" t="s">
        <v>83</v>
      </c>
      <c r="D664" s="21" t="s">
        <v>2093</v>
      </c>
      <c r="E664" s="21" t="s">
        <v>48</v>
      </c>
      <c r="F664" s="21"/>
      <c r="G664" s="66"/>
      <c r="H664" s="64"/>
      <c r="I664" s="64"/>
      <c r="J664" s="23" t="s">
        <v>2051</v>
      </c>
      <c r="K664" s="64"/>
      <c r="L664" s="21" t="s">
        <v>2052</v>
      </c>
      <c r="M664" s="64"/>
      <c r="N664" s="66"/>
      <c r="O664" s="64"/>
      <c r="P664" s="64"/>
      <c r="Q664" s="24" t="s">
        <v>2051</v>
      </c>
      <c r="R664" s="64"/>
      <c r="S664" s="21" t="s">
        <v>2052</v>
      </c>
      <c r="T664" s="28">
        <v>400</v>
      </c>
      <c r="U664" s="27">
        <v>43802</v>
      </c>
      <c r="V664" s="27">
        <v>43802</v>
      </c>
      <c r="W664" s="95">
        <v>400</v>
      </c>
    </row>
    <row r="665" spans="1:23" ht="60" customHeight="1">
      <c r="A665" s="31">
        <v>0</v>
      </c>
      <c r="B665" s="64">
        <v>80204250585</v>
      </c>
      <c r="C665" s="21" t="s">
        <v>83</v>
      </c>
      <c r="D665" s="21" t="s">
        <v>2060</v>
      </c>
      <c r="E665" s="21" t="s">
        <v>48</v>
      </c>
      <c r="F665" s="21"/>
      <c r="G665" s="66"/>
      <c r="H665" s="64"/>
      <c r="I665" s="64"/>
      <c r="J665" s="23" t="s">
        <v>2094</v>
      </c>
      <c r="K665" s="64"/>
      <c r="L665" s="21" t="s">
        <v>2095</v>
      </c>
      <c r="M665" s="64"/>
      <c r="N665" s="64"/>
      <c r="O665" s="64"/>
      <c r="P665" s="64"/>
      <c r="Q665" s="23" t="s">
        <v>2094</v>
      </c>
      <c r="R665" s="64"/>
      <c r="S665" s="21" t="s">
        <v>2095</v>
      </c>
      <c r="T665" s="28">
        <v>400</v>
      </c>
      <c r="U665" s="27">
        <v>43768</v>
      </c>
      <c r="V665" s="27">
        <v>43768</v>
      </c>
      <c r="W665" s="95">
        <v>0</v>
      </c>
    </row>
    <row r="666" spans="1:23" ht="45" customHeight="1">
      <c r="A666" s="31">
        <v>0</v>
      </c>
      <c r="B666" s="64">
        <v>80204250585</v>
      </c>
      <c r="C666" s="21" t="s">
        <v>83</v>
      </c>
      <c r="D666" s="21" t="s">
        <v>2096</v>
      </c>
      <c r="E666" s="21" t="s">
        <v>48</v>
      </c>
      <c r="F666" s="21"/>
      <c r="G666" s="66"/>
      <c r="H666" s="64"/>
      <c r="I666" s="64"/>
      <c r="J666" s="23" t="s">
        <v>2097</v>
      </c>
      <c r="K666" s="64"/>
      <c r="L666" s="21" t="s">
        <v>2098</v>
      </c>
      <c r="M666" s="64"/>
      <c r="N666" s="64"/>
      <c r="O666" s="64"/>
      <c r="P666" s="64"/>
      <c r="Q666" s="23" t="s">
        <v>2097</v>
      </c>
      <c r="R666" s="64"/>
      <c r="S666" s="21" t="s">
        <v>2098</v>
      </c>
      <c r="T666" s="28">
        <v>260</v>
      </c>
      <c r="U666" s="27">
        <v>43812</v>
      </c>
      <c r="V666" s="27">
        <v>43814</v>
      </c>
      <c r="W666" s="95">
        <v>221</v>
      </c>
    </row>
    <row r="667" spans="1:23" ht="45" customHeight="1">
      <c r="A667" s="31">
        <v>0</v>
      </c>
      <c r="B667" s="64">
        <v>80204250585</v>
      </c>
      <c r="C667" s="21" t="s">
        <v>83</v>
      </c>
      <c r="D667" s="21" t="s">
        <v>2099</v>
      </c>
      <c r="E667" s="21" t="s">
        <v>48</v>
      </c>
      <c r="F667" s="21"/>
      <c r="G667" s="66"/>
      <c r="H667" s="64"/>
      <c r="I667" s="64"/>
      <c r="J667" s="23" t="s">
        <v>1972</v>
      </c>
      <c r="K667" s="64"/>
      <c r="L667" s="21" t="s">
        <v>1973</v>
      </c>
      <c r="M667" s="64"/>
      <c r="N667" s="66"/>
      <c r="O667" s="64"/>
      <c r="P667" s="64"/>
      <c r="Q667" s="23" t="s">
        <v>1972</v>
      </c>
      <c r="R667" s="64"/>
      <c r="S667" s="21" t="s">
        <v>1973</v>
      </c>
      <c r="T667" s="28">
        <v>550</v>
      </c>
      <c r="U667" s="27">
        <v>43800</v>
      </c>
      <c r="V667" s="27">
        <v>44013</v>
      </c>
      <c r="W667" s="95">
        <v>550</v>
      </c>
    </row>
    <row r="668" spans="1:23" ht="60" customHeight="1">
      <c r="A668" s="31">
        <v>0</v>
      </c>
      <c r="B668" s="64">
        <v>80204250585</v>
      </c>
      <c r="C668" s="21" t="s">
        <v>83</v>
      </c>
      <c r="D668" s="21" t="s">
        <v>2100</v>
      </c>
      <c r="E668" s="21" t="s">
        <v>48</v>
      </c>
      <c r="F668" s="21"/>
      <c r="G668" s="66"/>
      <c r="H668" s="64"/>
      <c r="I668" s="64"/>
      <c r="J668" s="23" t="s">
        <v>2101</v>
      </c>
      <c r="K668" s="64"/>
      <c r="L668" s="21" t="s">
        <v>2102</v>
      </c>
      <c r="M668" s="64"/>
      <c r="N668" s="66"/>
      <c r="O668" s="64"/>
      <c r="P668" s="64"/>
      <c r="Q668" s="24" t="s">
        <v>2101</v>
      </c>
      <c r="R668" s="64"/>
      <c r="S668" s="21" t="s">
        <v>2102</v>
      </c>
      <c r="T668" s="28">
        <v>1500</v>
      </c>
      <c r="U668" s="27">
        <v>43880</v>
      </c>
      <c r="V668" s="27">
        <v>43881</v>
      </c>
      <c r="W668" s="95">
        <v>1500</v>
      </c>
    </row>
    <row r="669" spans="1:23" ht="105" customHeight="1">
      <c r="A669" s="31" t="s">
        <v>931</v>
      </c>
      <c r="B669" s="64">
        <v>80204250585</v>
      </c>
      <c r="C669" s="21" t="s">
        <v>83</v>
      </c>
      <c r="D669" s="21" t="s">
        <v>2103</v>
      </c>
      <c r="E669" s="21" t="s">
        <v>48</v>
      </c>
      <c r="F669" s="21"/>
      <c r="G669" s="66"/>
      <c r="H669" s="64"/>
      <c r="I669" s="64"/>
      <c r="J669" s="23" t="s">
        <v>933</v>
      </c>
      <c r="K669" s="64"/>
      <c r="L669" s="21" t="s">
        <v>2104</v>
      </c>
      <c r="M669" s="64"/>
      <c r="N669" s="66"/>
      <c r="O669" s="64"/>
      <c r="P669" s="64"/>
      <c r="Q669" s="24" t="s">
        <v>933</v>
      </c>
      <c r="R669" s="64"/>
      <c r="S669" s="21" t="s">
        <v>2104</v>
      </c>
      <c r="T669" s="28">
        <v>36000</v>
      </c>
      <c r="U669" s="27">
        <v>43862</v>
      </c>
      <c r="V669" s="27">
        <v>43982</v>
      </c>
      <c r="W669" s="95">
        <v>0</v>
      </c>
    </row>
    <row r="670" spans="1:23" ht="60" customHeight="1">
      <c r="A670" s="31">
        <v>0</v>
      </c>
      <c r="B670" s="64">
        <v>80204250585</v>
      </c>
      <c r="C670" s="21" t="s">
        <v>83</v>
      </c>
      <c r="D670" s="21" t="s">
        <v>2105</v>
      </c>
      <c r="E670" s="21" t="s">
        <v>48</v>
      </c>
      <c r="F670" s="21"/>
      <c r="G670" s="66"/>
      <c r="H670" s="64"/>
      <c r="I670" s="64"/>
      <c r="J670" s="23" t="s">
        <v>2106</v>
      </c>
      <c r="K670" s="64"/>
      <c r="L670" s="21" t="s">
        <v>2107</v>
      </c>
      <c r="M670" s="64"/>
      <c r="N670" s="64"/>
      <c r="O670" s="64"/>
      <c r="P670" s="64"/>
      <c r="Q670" s="24" t="s">
        <v>2106</v>
      </c>
      <c r="R670" s="64"/>
      <c r="S670" s="21" t="s">
        <v>2107</v>
      </c>
      <c r="T670" s="28">
        <v>2700</v>
      </c>
      <c r="U670" s="27">
        <v>43809</v>
      </c>
      <c r="V670" s="27">
        <v>43809</v>
      </c>
      <c r="W670" s="95">
        <v>2700</v>
      </c>
    </row>
    <row r="671" spans="1:23" ht="45" customHeight="1">
      <c r="A671" s="108" t="s">
        <v>2108</v>
      </c>
      <c r="B671" s="64">
        <v>80204250585</v>
      </c>
      <c r="C671" s="21" t="s">
        <v>83</v>
      </c>
      <c r="D671" s="21" t="s">
        <v>2109</v>
      </c>
      <c r="E671" s="21" t="s">
        <v>48</v>
      </c>
      <c r="F671" s="21"/>
      <c r="G671" s="66"/>
      <c r="H671" s="64"/>
      <c r="I671" s="64"/>
      <c r="J671" s="23" t="s">
        <v>1713</v>
      </c>
      <c r="K671" s="64"/>
      <c r="L671" s="21" t="s">
        <v>2110</v>
      </c>
      <c r="M671" s="64"/>
      <c r="N671" s="64"/>
      <c r="O671" s="64"/>
      <c r="P671" s="64"/>
      <c r="Q671" s="23" t="s">
        <v>1713</v>
      </c>
      <c r="R671" s="64"/>
      <c r="S671" s="21" t="s">
        <v>2110</v>
      </c>
      <c r="T671" s="28">
        <v>945</v>
      </c>
      <c r="U671" s="27">
        <v>43800</v>
      </c>
      <c r="V671" s="27">
        <v>43830</v>
      </c>
      <c r="W671" s="95">
        <v>0</v>
      </c>
    </row>
    <row r="672" spans="1:23" ht="43.5" customHeight="1">
      <c r="A672" s="31">
        <v>0</v>
      </c>
      <c r="B672" s="64">
        <v>80204250585</v>
      </c>
      <c r="C672" s="21" t="s">
        <v>83</v>
      </c>
      <c r="D672" s="109" t="s">
        <v>2111</v>
      </c>
      <c r="E672" s="21" t="s">
        <v>48</v>
      </c>
      <c r="F672" s="21"/>
      <c r="G672" s="66"/>
      <c r="H672" s="64"/>
      <c r="I672" s="64"/>
      <c r="J672" s="23" t="s">
        <v>2112</v>
      </c>
      <c r="K672" s="64"/>
      <c r="L672" s="21" t="s">
        <v>2113</v>
      </c>
      <c r="M672" s="64"/>
      <c r="N672" s="66"/>
      <c r="O672" s="64"/>
      <c r="P672" s="64"/>
      <c r="Q672" s="24" t="s">
        <v>2112</v>
      </c>
      <c r="R672" s="64"/>
      <c r="S672" s="21" t="s">
        <v>2113</v>
      </c>
      <c r="T672" s="28">
        <v>650</v>
      </c>
      <c r="U672" s="27">
        <v>43850</v>
      </c>
      <c r="V672" s="27">
        <v>43850</v>
      </c>
      <c r="W672" s="95">
        <v>650</v>
      </c>
    </row>
    <row r="673" spans="1:23" ht="57.75" customHeight="1">
      <c r="A673" s="31">
        <v>0</v>
      </c>
      <c r="B673" s="64" t="s">
        <v>88</v>
      </c>
      <c r="C673" s="21" t="s">
        <v>83</v>
      </c>
      <c r="D673" s="109" t="s">
        <v>2114</v>
      </c>
      <c r="E673" s="21" t="s">
        <v>48</v>
      </c>
      <c r="F673" s="21"/>
      <c r="G673" s="66"/>
      <c r="H673" s="64"/>
      <c r="I673" s="64"/>
      <c r="J673" s="23" t="s">
        <v>2115</v>
      </c>
      <c r="K673" s="64"/>
      <c r="L673" s="21" t="s">
        <v>2116</v>
      </c>
      <c r="M673" s="64"/>
      <c r="N673" s="66"/>
      <c r="O673" s="64"/>
      <c r="P673" s="64"/>
      <c r="Q673" s="24" t="s">
        <v>2115</v>
      </c>
      <c r="R673" s="64"/>
      <c r="S673" s="21" t="s">
        <v>2116</v>
      </c>
      <c r="T673" s="28">
        <v>400</v>
      </c>
      <c r="U673" s="27">
        <v>43853</v>
      </c>
      <c r="V673" s="27">
        <v>43853</v>
      </c>
      <c r="W673" s="95">
        <v>400</v>
      </c>
    </row>
    <row r="674" spans="1:23" ht="57.75" customHeight="1">
      <c r="A674" s="31">
        <v>0</v>
      </c>
      <c r="B674" s="64" t="s">
        <v>88</v>
      </c>
      <c r="C674" s="21" t="s">
        <v>83</v>
      </c>
      <c r="D674" s="109" t="s">
        <v>2114</v>
      </c>
      <c r="E674" s="21" t="s">
        <v>48</v>
      </c>
      <c r="F674" s="21"/>
      <c r="G674" s="66"/>
      <c r="H674" s="64"/>
      <c r="I674" s="64"/>
      <c r="J674" s="23" t="s">
        <v>2115</v>
      </c>
      <c r="K674" s="64"/>
      <c r="L674" s="21" t="s">
        <v>2116</v>
      </c>
      <c r="M674" s="64"/>
      <c r="N674" s="66"/>
      <c r="O674" s="64"/>
      <c r="P674" s="64"/>
      <c r="Q674" s="24" t="s">
        <v>2115</v>
      </c>
      <c r="R674" s="64"/>
      <c r="S674" s="21" t="s">
        <v>2116</v>
      </c>
      <c r="T674" s="28">
        <v>400</v>
      </c>
      <c r="U674" s="27">
        <v>43853</v>
      </c>
      <c r="V674" s="27">
        <v>43853</v>
      </c>
      <c r="W674" s="95">
        <v>400</v>
      </c>
    </row>
    <row r="675" spans="1:23" ht="114.75" customHeight="1">
      <c r="A675" s="31">
        <v>0</v>
      </c>
      <c r="B675" s="64">
        <v>80204250585</v>
      </c>
      <c r="C675" s="21" t="s">
        <v>83</v>
      </c>
      <c r="D675" s="109" t="s">
        <v>2117</v>
      </c>
      <c r="E675" s="21" t="s">
        <v>48</v>
      </c>
      <c r="F675" s="21"/>
      <c r="G675" s="66"/>
      <c r="H675" s="64"/>
      <c r="I675" s="64"/>
      <c r="J675" s="23" t="s">
        <v>2118</v>
      </c>
      <c r="K675" s="64"/>
      <c r="L675" s="21" t="s">
        <v>2119</v>
      </c>
      <c r="M675" s="64"/>
      <c r="N675" s="66"/>
      <c r="O675" s="64"/>
      <c r="P675" s="64"/>
      <c r="Q675" s="24" t="s">
        <v>2118</v>
      </c>
      <c r="R675" s="64"/>
      <c r="S675" s="21" t="s">
        <v>2119</v>
      </c>
      <c r="T675" s="28">
        <v>490</v>
      </c>
      <c r="U675" s="27">
        <v>43850</v>
      </c>
      <c r="V675" s="27">
        <v>43851</v>
      </c>
      <c r="W675" s="95">
        <v>490</v>
      </c>
    </row>
    <row r="676" spans="1:23" ht="114.75" customHeight="1">
      <c r="A676" s="31">
        <v>0</v>
      </c>
      <c r="B676" s="64">
        <v>80204250585</v>
      </c>
      <c r="C676" s="21" t="s">
        <v>83</v>
      </c>
      <c r="D676" s="109" t="s">
        <v>2117</v>
      </c>
      <c r="E676" s="21" t="s">
        <v>48</v>
      </c>
      <c r="F676" s="21"/>
      <c r="G676" s="66"/>
      <c r="H676" s="64"/>
      <c r="I676" s="64"/>
      <c r="J676" s="23" t="s">
        <v>2118</v>
      </c>
      <c r="K676" s="64"/>
      <c r="L676" s="21" t="s">
        <v>2119</v>
      </c>
      <c r="M676" s="64"/>
      <c r="N676" s="66"/>
      <c r="O676" s="64"/>
      <c r="P676" s="64"/>
      <c r="Q676" s="24" t="s">
        <v>2118</v>
      </c>
      <c r="R676" s="64"/>
      <c r="S676" s="21" t="s">
        <v>2119</v>
      </c>
      <c r="T676" s="28">
        <v>490</v>
      </c>
      <c r="U676" s="27">
        <v>43850</v>
      </c>
      <c r="V676" s="27">
        <v>43851</v>
      </c>
      <c r="W676" s="95">
        <v>490</v>
      </c>
    </row>
    <row r="677" spans="1:23" ht="75" customHeight="1">
      <c r="A677" s="31" t="s">
        <v>2120</v>
      </c>
      <c r="B677" s="64">
        <v>80204250585</v>
      </c>
      <c r="C677" s="21" t="s">
        <v>83</v>
      </c>
      <c r="D677" s="21" t="s">
        <v>2121</v>
      </c>
      <c r="E677" s="21" t="s">
        <v>48</v>
      </c>
      <c r="F677" s="21"/>
      <c r="G677" s="66"/>
      <c r="H677" s="64"/>
      <c r="I677" s="64"/>
      <c r="J677" s="23" t="s">
        <v>2091</v>
      </c>
      <c r="K677" s="64"/>
      <c r="L677" s="21" t="s">
        <v>2092</v>
      </c>
      <c r="M677" s="64"/>
      <c r="N677" s="66"/>
      <c r="O677" s="64"/>
      <c r="P677" s="64"/>
      <c r="Q677" s="23" t="s">
        <v>2091</v>
      </c>
      <c r="R677" s="64"/>
      <c r="S677" s="21" t="s">
        <v>2092</v>
      </c>
      <c r="T677" s="28">
        <v>4500</v>
      </c>
      <c r="U677" s="27">
        <v>43862</v>
      </c>
      <c r="V677" s="27">
        <v>43890</v>
      </c>
      <c r="W677" s="95">
        <v>4500</v>
      </c>
    </row>
    <row r="678" spans="1:23" ht="45" customHeight="1">
      <c r="A678" s="31">
        <v>0</v>
      </c>
      <c r="B678" s="64">
        <v>80204250585</v>
      </c>
      <c r="C678" s="21" t="s">
        <v>83</v>
      </c>
      <c r="D678" s="109" t="s">
        <v>2122</v>
      </c>
      <c r="E678" s="21" t="s">
        <v>48</v>
      </c>
      <c r="F678" s="21"/>
      <c r="G678" s="64"/>
      <c r="H678" s="64"/>
      <c r="I678" s="64"/>
      <c r="J678" s="23" t="s">
        <v>1986</v>
      </c>
      <c r="K678" s="64"/>
      <c r="L678" s="21" t="s">
        <v>1987</v>
      </c>
      <c r="M678" s="64"/>
      <c r="N678" s="64"/>
      <c r="O678" s="64"/>
      <c r="P678" s="64"/>
      <c r="Q678" s="24" t="s">
        <v>1986</v>
      </c>
      <c r="R678" s="64"/>
      <c r="S678" s="21" t="s">
        <v>1987</v>
      </c>
      <c r="T678" s="28">
        <v>5146</v>
      </c>
      <c r="U678" s="27">
        <v>43902</v>
      </c>
      <c r="V678" s="27">
        <v>44286</v>
      </c>
      <c r="W678" s="95">
        <v>2646</v>
      </c>
    </row>
    <row r="679" spans="1:23" ht="45" customHeight="1">
      <c r="A679" s="31">
        <v>0</v>
      </c>
      <c r="B679" s="64">
        <v>80204250585</v>
      </c>
      <c r="C679" s="21" t="s">
        <v>83</v>
      </c>
      <c r="D679" s="109" t="s">
        <v>2122</v>
      </c>
      <c r="E679" s="21" t="s">
        <v>48</v>
      </c>
      <c r="F679" s="21"/>
      <c r="G679" s="64"/>
      <c r="H679" s="64"/>
      <c r="I679" s="64"/>
      <c r="J679" s="23" t="s">
        <v>1986</v>
      </c>
      <c r="K679" s="64"/>
      <c r="L679" s="21" t="s">
        <v>1987</v>
      </c>
      <c r="M679" s="64"/>
      <c r="N679" s="64"/>
      <c r="O679" s="64"/>
      <c r="P679" s="64"/>
      <c r="Q679" s="24" t="s">
        <v>1986</v>
      </c>
      <c r="R679" s="64"/>
      <c r="S679" s="21" t="s">
        <v>1987</v>
      </c>
      <c r="T679" s="28">
        <v>5146</v>
      </c>
      <c r="U679" s="27">
        <v>43902</v>
      </c>
      <c r="V679" s="27">
        <v>44286</v>
      </c>
      <c r="W679" s="95">
        <v>2646</v>
      </c>
    </row>
    <row r="680" spans="1:23" ht="45" customHeight="1">
      <c r="A680" s="31">
        <v>0</v>
      </c>
      <c r="B680" s="64">
        <v>80204250585</v>
      </c>
      <c r="C680" s="21" t="s">
        <v>83</v>
      </c>
      <c r="D680" s="109" t="s">
        <v>2122</v>
      </c>
      <c r="E680" s="21" t="s">
        <v>48</v>
      </c>
      <c r="F680" s="21"/>
      <c r="G680" s="64"/>
      <c r="H680" s="64"/>
      <c r="I680" s="64"/>
      <c r="J680" s="23" t="s">
        <v>1986</v>
      </c>
      <c r="K680" s="64"/>
      <c r="L680" s="21" t="s">
        <v>1987</v>
      </c>
      <c r="M680" s="64"/>
      <c r="N680" s="64"/>
      <c r="O680" s="64"/>
      <c r="P680" s="64"/>
      <c r="Q680" s="24" t="s">
        <v>1986</v>
      </c>
      <c r="R680" s="64"/>
      <c r="S680" s="21" t="s">
        <v>1987</v>
      </c>
      <c r="T680" s="28">
        <v>5146</v>
      </c>
      <c r="U680" s="27">
        <v>43902</v>
      </c>
      <c r="V680" s="27">
        <v>44286</v>
      </c>
      <c r="W680" s="95">
        <v>2646</v>
      </c>
    </row>
    <row r="681" spans="1:23" ht="45" customHeight="1">
      <c r="A681" s="31">
        <v>0</v>
      </c>
      <c r="B681" s="64">
        <v>80204250585</v>
      </c>
      <c r="C681" s="21" t="s">
        <v>83</v>
      </c>
      <c r="D681" s="109" t="s">
        <v>2122</v>
      </c>
      <c r="E681" s="21" t="s">
        <v>48</v>
      </c>
      <c r="F681" s="21"/>
      <c r="G681" s="64"/>
      <c r="H681" s="64"/>
      <c r="I681" s="64"/>
      <c r="J681" s="23" t="s">
        <v>1986</v>
      </c>
      <c r="K681" s="64"/>
      <c r="L681" s="21" t="s">
        <v>1987</v>
      </c>
      <c r="M681" s="64"/>
      <c r="N681" s="64"/>
      <c r="O681" s="64"/>
      <c r="P681" s="64"/>
      <c r="Q681" s="24" t="s">
        <v>1986</v>
      </c>
      <c r="R681" s="64"/>
      <c r="S681" s="21" t="s">
        <v>1987</v>
      </c>
      <c r="T681" s="28">
        <v>5146</v>
      </c>
      <c r="U681" s="27">
        <v>43902</v>
      </c>
      <c r="V681" s="27">
        <v>44286</v>
      </c>
      <c r="W681" s="95">
        <v>2646</v>
      </c>
    </row>
    <row r="682" spans="1:23" ht="45" customHeight="1">
      <c r="A682" s="31">
        <v>0</v>
      </c>
      <c r="B682" s="64">
        <v>80204250585</v>
      </c>
      <c r="C682" s="21" t="s">
        <v>83</v>
      </c>
      <c r="D682" s="109" t="s">
        <v>2122</v>
      </c>
      <c r="E682" s="21" t="s">
        <v>48</v>
      </c>
      <c r="F682" s="21"/>
      <c r="G682" s="64"/>
      <c r="H682" s="64"/>
      <c r="I682" s="64"/>
      <c r="J682" s="23" t="s">
        <v>1986</v>
      </c>
      <c r="K682" s="64"/>
      <c r="L682" s="21" t="s">
        <v>1987</v>
      </c>
      <c r="M682" s="64"/>
      <c r="N682" s="64"/>
      <c r="O682" s="64"/>
      <c r="P682" s="64"/>
      <c r="Q682" s="24" t="s">
        <v>1986</v>
      </c>
      <c r="R682" s="64"/>
      <c r="S682" s="21" t="s">
        <v>1987</v>
      </c>
      <c r="T682" s="28">
        <v>5146</v>
      </c>
      <c r="U682" s="27">
        <v>43902</v>
      </c>
      <c r="V682" s="27">
        <v>44286</v>
      </c>
      <c r="W682" s="95">
        <v>2646</v>
      </c>
    </row>
    <row r="683" spans="1:23" ht="45" customHeight="1">
      <c r="A683" s="31">
        <v>0</v>
      </c>
      <c r="B683" s="64">
        <v>80204250585</v>
      </c>
      <c r="C683" s="21" t="s">
        <v>83</v>
      </c>
      <c r="D683" s="21" t="s">
        <v>2123</v>
      </c>
      <c r="E683" s="21" t="s">
        <v>48</v>
      </c>
      <c r="F683" s="21"/>
      <c r="G683" s="66"/>
      <c r="H683" s="64"/>
      <c r="I683" s="64"/>
      <c r="J683" s="23" t="s">
        <v>2124</v>
      </c>
      <c r="K683" s="64"/>
      <c r="L683" s="21" t="s">
        <v>2125</v>
      </c>
      <c r="M683" s="64"/>
      <c r="N683" s="66"/>
      <c r="O683" s="64"/>
      <c r="P683" s="64"/>
      <c r="Q683" s="24" t="s">
        <v>2124</v>
      </c>
      <c r="R683" s="64"/>
      <c r="S683" s="21" t="s">
        <v>2125</v>
      </c>
      <c r="T683" s="28">
        <v>3500</v>
      </c>
      <c r="U683" s="27">
        <v>43879</v>
      </c>
      <c r="V683" s="27">
        <v>43879</v>
      </c>
      <c r="W683" s="95">
        <v>3500</v>
      </c>
    </row>
    <row r="684" spans="1:23" ht="143.25" customHeight="1">
      <c r="A684" s="31">
        <v>0</v>
      </c>
      <c r="B684" s="64">
        <v>80204250585</v>
      </c>
      <c r="C684" s="21" t="s">
        <v>83</v>
      </c>
      <c r="D684" s="109" t="s">
        <v>2126</v>
      </c>
      <c r="E684" s="21" t="s">
        <v>48</v>
      </c>
      <c r="F684" s="21"/>
      <c r="G684" s="66"/>
      <c r="H684" s="64"/>
      <c r="I684" s="64"/>
      <c r="J684" s="23" t="s">
        <v>2127</v>
      </c>
      <c r="K684" s="64"/>
      <c r="L684" s="21" t="s">
        <v>2128</v>
      </c>
      <c r="M684" s="64"/>
      <c r="N684" s="66"/>
      <c r="O684" s="64"/>
      <c r="P684" s="64"/>
      <c r="Q684" s="24" t="s">
        <v>2127</v>
      </c>
      <c r="R684" s="64"/>
      <c r="S684" s="21" t="s">
        <v>2128</v>
      </c>
      <c r="T684" s="28">
        <v>766</v>
      </c>
      <c r="U684" s="27">
        <v>43896</v>
      </c>
      <c r="V684" s="27">
        <v>43945</v>
      </c>
      <c r="W684" s="95">
        <v>786</v>
      </c>
    </row>
    <row r="685" spans="1:23" ht="143.25" customHeight="1">
      <c r="A685" s="31">
        <v>0</v>
      </c>
      <c r="B685" s="64">
        <v>80204250585</v>
      </c>
      <c r="C685" s="21" t="s">
        <v>83</v>
      </c>
      <c r="D685" s="109" t="s">
        <v>2126</v>
      </c>
      <c r="E685" s="21" t="s">
        <v>48</v>
      </c>
      <c r="F685" s="21"/>
      <c r="G685" s="66"/>
      <c r="H685" s="64"/>
      <c r="I685" s="64"/>
      <c r="J685" s="23" t="s">
        <v>2127</v>
      </c>
      <c r="K685" s="64"/>
      <c r="L685" s="21" t="s">
        <v>2128</v>
      </c>
      <c r="M685" s="64"/>
      <c r="N685" s="66"/>
      <c r="O685" s="64"/>
      <c r="P685" s="64"/>
      <c r="Q685" s="24" t="s">
        <v>2127</v>
      </c>
      <c r="R685" s="64"/>
      <c r="S685" s="21" t="s">
        <v>2128</v>
      </c>
      <c r="T685" s="28">
        <v>766</v>
      </c>
      <c r="U685" s="27">
        <v>43896</v>
      </c>
      <c r="V685" s="27">
        <v>43945</v>
      </c>
      <c r="W685" s="95">
        <v>786</v>
      </c>
    </row>
    <row r="686" spans="1:23" ht="43.5" customHeight="1">
      <c r="A686" s="31">
        <v>0</v>
      </c>
      <c r="B686" s="64">
        <v>80204250585</v>
      </c>
      <c r="C686" s="21" t="s">
        <v>83</v>
      </c>
      <c r="D686" s="109" t="s">
        <v>2129</v>
      </c>
      <c r="E686" s="21" t="s">
        <v>48</v>
      </c>
      <c r="F686" s="21"/>
      <c r="G686" s="66"/>
      <c r="H686" s="64"/>
      <c r="I686" s="64"/>
      <c r="J686" s="23" t="s">
        <v>2051</v>
      </c>
      <c r="K686" s="64"/>
      <c r="L686" s="21" t="s">
        <v>2052</v>
      </c>
      <c r="M686" s="64"/>
      <c r="N686" s="66"/>
      <c r="O686" s="64"/>
      <c r="P686" s="64"/>
      <c r="Q686" s="24" t="s">
        <v>2051</v>
      </c>
      <c r="R686" s="64"/>
      <c r="S686" s="21" t="s">
        <v>2052</v>
      </c>
      <c r="T686" s="28">
        <v>400</v>
      </c>
      <c r="U686" s="27">
        <v>43886</v>
      </c>
      <c r="V686" s="27">
        <v>43886</v>
      </c>
      <c r="W686" s="95">
        <v>400</v>
      </c>
    </row>
    <row r="687" spans="1:23" ht="60" customHeight="1">
      <c r="A687" s="31">
        <v>0</v>
      </c>
      <c r="B687" s="64">
        <v>80204250585</v>
      </c>
      <c r="C687" s="21" t="s">
        <v>83</v>
      </c>
      <c r="D687" s="21" t="s">
        <v>2130</v>
      </c>
      <c r="E687" s="21" t="s">
        <v>48</v>
      </c>
      <c r="F687" s="21"/>
      <c r="G687" s="66"/>
      <c r="H687" s="64"/>
      <c r="I687" s="64"/>
      <c r="J687" s="23" t="s">
        <v>1974</v>
      </c>
      <c r="K687" s="64"/>
      <c r="L687" s="21" t="s">
        <v>1975</v>
      </c>
      <c r="M687" s="64"/>
      <c r="N687" s="66"/>
      <c r="O687" s="64"/>
      <c r="P687" s="64"/>
      <c r="Q687" s="24" t="s">
        <v>1974</v>
      </c>
      <c r="R687" s="64"/>
      <c r="S687" s="21" t="s">
        <v>1975</v>
      </c>
      <c r="T687" s="28">
        <v>1647</v>
      </c>
      <c r="U687" s="27">
        <v>43902</v>
      </c>
      <c r="V687" s="27">
        <v>43902</v>
      </c>
      <c r="W687" s="95">
        <v>0</v>
      </c>
    </row>
    <row r="688" spans="1:23" ht="143.25" customHeight="1">
      <c r="A688" s="31">
        <v>0</v>
      </c>
      <c r="B688" s="64">
        <v>80204250585</v>
      </c>
      <c r="C688" s="21" t="s">
        <v>83</v>
      </c>
      <c r="D688" s="109" t="s">
        <v>2126</v>
      </c>
      <c r="E688" s="21" t="s">
        <v>48</v>
      </c>
      <c r="F688" s="21"/>
      <c r="G688" s="66"/>
      <c r="H688" s="64"/>
      <c r="I688" s="64"/>
      <c r="J688" s="23" t="s">
        <v>2127</v>
      </c>
      <c r="K688" s="64"/>
      <c r="L688" s="21" t="s">
        <v>2128</v>
      </c>
      <c r="M688" s="64"/>
      <c r="N688" s="66"/>
      <c r="O688" s="64"/>
      <c r="P688" s="64"/>
      <c r="Q688" s="24" t="s">
        <v>2127</v>
      </c>
      <c r="R688" s="64"/>
      <c r="S688" s="21" t="s">
        <v>2128</v>
      </c>
      <c r="T688" s="28">
        <v>766</v>
      </c>
      <c r="U688" s="27">
        <v>43896</v>
      </c>
      <c r="V688" s="27">
        <v>43945</v>
      </c>
      <c r="W688" s="95">
        <v>786</v>
      </c>
    </row>
    <row r="689" spans="1:23" ht="86.25" customHeight="1">
      <c r="A689" s="31">
        <v>0</v>
      </c>
      <c r="B689" s="64">
        <v>80204250585</v>
      </c>
      <c r="C689" s="21" t="s">
        <v>83</v>
      </c>
      <c r="D689" s="109" t="s">
        <v>2131</v>
      </c>
      <c r="E689" s="21" t="s">
        <v>48</v>
      </c>
      <c r="F689" s="21"/>
      <c r="G689" s="66"/>
      <c r="H689" s="64"/>
      <c r="I689" s="64"/>
      <c r="J689" s="23" t="s">
        <v>2051</v>
      </c>
      <c r="K689" s="64"/>
      <c r="L689" s="21" t="s">
        <v>2052</v>
      </c>
      <c r="M689" s="64"/>
      <c r="N689" s="66"/>
      <c r="O689" s="64"/>
      <c r="P689" s="64"/>
      <c r="Q689" s="24" t="s">
        <v>2051</v>
      </c>
      <c r="R689" s="64"/>
      <c r="S689" s="21" t="s">
        <v>2052</v>
      </c>
      <c r="T689" s="28">
        <v>179</v>
      </c>
      <c r="U689" s="27">
        <v>43951</v>
      </c>
      <c r="V689" s="27">
        <v>43951</v>
      </c>
      <c r="W689" s="95">
        <v>179</v>
      </c>
    </row>
    <row r="690" spans="1:23" ht="43.5" customHeight="1">
      <c r="A690" s="31">
        <v>0</v>
      </c>
      <c r="B690" s="64" t="s">
        <v>88</v>
      </c>
      <c r="C690" s="21" t="s">
        <v>83</v>
      </c>
      <c r="D690" s="109" t="s">
        <v>2132</v>
      </c>
      <c r="E690" s="21" t="s">
        <v>48</v>
      </c>
      <c r="F690" s="21"/>
      <c r="G690" s="66"/>
      <c r="H690" s="64"/>
      <c r="I690" s="64"/>
      <c r="J690" s="23" t="s">
        <v>2115</v>
      </c>
      <c r="K690" s="64"/>
      <c r="L690" s="21" t="s">
        <v>2116</v>
      </c>
      <c r="M690" s="64"/>
      <c r="N690" s="66"/>
      <c r="O690" s="64"/>
      <c r="P690" s="64"/>
      <c r="Q690" s="24" t="s">
        <v>2115</v>
      </c>
      <c r="R690" s="64"/>
      <c r="S690" s="21" t="s">
        <v>2116</v>
      </c>
      <c r="T690" s="28">
        <v>340</v>
      </c>
      <c r="U690" s="27">
        <v>43966</v>
      </c>
      <c r="V690" s="27">
        <v>43966</v>
      </c>
      <c r="W690" s="95">
        <v>0</v>
      </c>
    </row>
    <row r="691" spans="1:23" ht="43.5" customHeight="1">
      <c r="A691" s="31">
        <v>0</v>
      </c>
      <c r="B691" s="64" t="s">
        <v>88</v>
      </c>
      <c r="C691" s="21" t="s">
        <v>83</v>
      </c>
      <c r="D691" s="109" t="s">
        <v>2132</v>
      </c>
      <c r="E691" s="21" t="s">
        <v>48</v>
      </c>
      <c r="F691" s="21"/>
      <c r="G691" s="66"/>
      <c r="H691" s="64"/>
      <c r="I691" s="64"/>
      <c r="J691" s="23" t="s">
        <v>2115</v>
      </c>
      <c r="K691" s="64"/>
      <c r="L691" s="21" t="s">
        <v>2116</v>
      </c>
      <c r="M691" s="64"/>
      <c r="N691" s="66"/>
      <c r="O691" s="64"/>
      <c r="P691" s="64"/>
      <c r="Q691" s="24" t="s">
        <v>2115</v>
      </c>
      <c r="R691" s="64"/>
      <c r="S691" s="21" t="s">
        <v>2116</v>
      </c>
      <c r="T691" s="28">
        <v>340</v>
      </c>
      <c r="U691" s="27">
        <v>43966</v>
      </c>
      <c r="V691" s="27">
        <v>43966</v>
      </c>
      <c r="W691" s="95">
        <v>0</v>
      </c>
    </row>
    <row r="692" spans="1:23" ht="86.25" customHeight="1">
      <c r="A692" s="31">
        <v>0</v>
      </c>
      <c r="B692" s="64">
        <v>80204250585</v>
      </c>
      <c r="C692" s="21" t="s">
        <v>83</v>
      </c>
      <c r="D692" s="109" t="s">
        <v>2133</v>
      </c>
      <c r="E692" s="21" t="s">
        <v>48</v>
      </c>
      <c r="F692" s="21"/>
      <c r="G692" s="66"/>
      <c r="H692" s="64"/>
      <c r="I692" s="64"/>
      <c r="J692" s="23" t="s">
        <v>2051</v>
      </c>
      <c r="K692" s="64"/>
      <c r="L692" s="21" t="s">
        <v>2052</v>
      </c>
      <c r="M692" s="64"/>
      <c r="N692" s="66"/>
      <c r="O692" s="64"/>
      <c r="P692" s="64"/>
      <c r="Q692" s="24" t="s">
        <v>2051</v>
      </c>
      <c r="R692" s="64"/>
      <c r="S692" s="21" t="s">
        <v>2052</v>
      </c>
      <c r="T692" s="28">
        <v>99</v>
      </c>
      <c r="U692" s="27">
        <v>43963</v>
      </c>
      <c r="V692" s="27">
        <v>43963</v>
      </c>
      <c r="W692" s="95">
        <v>99</v>
      </c>
    </row>
    <row r="693" spans="1:23" ht="30" customHeight="1">
      <c r="A693" s="31">
        <v>0</v>
      </c>
      <c r="B693" s="64">
        <v>80204250585</v>
      </c>
      <c r="C693" s="21" t="s">
        <v>83</v>
      </c>
      <c r="D693" s="109" t="s">
        <v>2134</v>
      </c>
      <c r="E693" s="21" t="s">
        <v>48</v>
      </c>
      <c r="F693" s="21"/>
      <c r="G693" s="66"/>
      <c r="H693" s="64"/>
      <c r="I693" s="64"/>
      <c r="J693" s="23" t="s">
        <v>2135</v>
      </c>
      <c r="K693" s="64"/>
      <c r="L693" s="21" t="s">
        <v>2136</v>
      </c>
      <c r="M693" s="64"/>
      <c r="N693" s="66"/>
      <c r="O693" s="64"/>
      <c r="P693" s="64"/>
      <c r="Q693" s="23" t="s">
        <v>2135</v>
      </c>
      <c r="R693" s="64"/>
      <c r="S693" s="21" t="s">
        <v>2136</v>
      </c>
      <c r="T693" s="28">
        <v>7560</v>
      </c>
      <c r="U693" s="27">
        <v>43963</v>
      </c>
      <c r="V693" s="27">
        <v>43964</v>
      </c>
      <c r="W693" s="95">
        <v>7560</v>
      </c>
    </row>
    <row r="694" spans="1:23" ht="30" customHeight="1">
      <c r="A694" s="31">
        <v>0</v>
      </c>
      <c r="B694" s="64">
        <v>80204250585</v>
      </c>
      <c r="C694" s="21" t="s">
        <v>83</v>
      </c>
      <c r="D694" s="21" t="s">
        <v>2137</v>
      </c>
      <c r="E694" s="21" t="s">
        <v>48</v>
      </c>
      <c r="F694" s="21"/>
      <c r="G694" s="66"/>
      <c r="H694" s="64"/>
      <c r="I694" s="64"/>
      <c r="J694" s="23" t="s">
        <v>2124</v>
      </c>
      <c r="K694" s="64"/>
      <c r="L694" s="21" t="s">
        <v>2125</v>
      </c>
      <c r="M694" s="64"/>
      <c r="N694" s="66"/>
      <c r="O694" s="64"/>
      <c r="P694" s="64"/>
      <c r="Q694" s="24" t="s">
        <v>2124</v>
      </c>
      <c r="R694" s="64"/>
      <c r="S694" s="21" t="s">
        <v>2125</v>
      </c>
      <c r="T694" s="28">
        <v>7500</v>
      </c>
      <c r="U694" s="27">
        <v>43972</v>
      </c>
      <c r="V694" s="27">
        <v>43973</v>
      </c>
      <c r="W694" s="95">
        <v>7500</v>
      </c>
    </row>
    <row r="695" spans="1:23" ht="45" customHeight="1">
      <c r="A695" s="31">
        <v>0</v>
      </c>
      <c r="B695" s="64">
        <v>80204250585</v>
      </c>
      <c r="C695" s="21" t="s">
        <v>83</v>
      </c>
      <c r="D695" s="21" t="s">
        <v>2138</v>
      </c>
      <c r="E695" s="21" t="s">
        <v>48</v>
      </c>
      <c r="F695" s="21"/>
      <c r="G695" s="66"/>
      <c r="H695" s="64"/>
      <c r="I695" s="64"/>
      <c r="J695" s="23" t="s">
        <v>2085</v>
      </c>
      <c r="K695" s="64"/>
      <c r="L695" s="21" t="s">
        <v>2086</v>
      </c>
      <c r="M695" s="64"/>
      <c r="N695" s="66"/>
      <c r="O695" s="64"/>
      <c r="P695" s="64"/>
      <c r="Q695" s="24" t="s">
        <v>2085</v>
      </c>
      <c r="R695" s="64"/>
      <c r="S695" s="21" t="s">
        <v>2086</v>
      </c>
      <c r="T695" s="28">
        <v>550</v>
      </c>
      <c r="U695" s="27">
        <v>43980</v>
      </c>
      <c r="V695" s="27">
        <v>43980</v>
      </c>
      <c r="W695" s="95">
        <v>550</v>
      </c>
    </row>
    <row r="696" spans="1:23" ht="60" customHeight="1">
      <c r="A696" s="31">
        <v>0</v>
      </c>
      <c r="B696" s="64">
        <v>80204250585</v>
      </c>
      <c r="C696" s="21" t="s">
        <v>83</v>
      </c>
      <c r="D696" s="21" t="s">
        <v>2139</v>
      </c>
      <c r="E696" s="21" t="s">
        <v>48</v>
      </c>
      <c r="F696" s="21"/>
      <c r="G696" s="66"/>
      <c r="H696" s="64"/>
      <c r="I696" s="64"/>
      <c r="J696" s="23" t="s">
        <v>2101</v>
      </c>
      <c r="K696" s="64"/>
      <c r="L696" s="21" t="s">
        <v>2102</v>
      </c>
      <c r="M696" s="64"/>
      <c r="N696" s="66"/>
      <c r="O696" s="64"/>
      <c r="P696" s="64"/>
      <c r="Q696" s="24" t="s">
        <v>2101</v>
      </c>
      <c r="R696" s="64"/>
      <c r="S696" s="21" t="s">
        <v>2102</v>
      </c>
      <c r="T696" s="28">
        <v>2800</v>
      </c>
      <c r="U696" s="27">
        <v>43986</v>
      </c>
      <c r="V696" s="27">
        <v>43987</v>
      </c>
      <c r="W696" s="95">
        <v>2800</v>
      </c>
    </row>
    <row r="697" spans="1:23" ht="43.5" customHeight="1">
      <c r="A697" s="31">
        <v>0</v>
      </c>
      <c r="B697" s="64">
        <v>80204250585</v>
      </c>
      <c r="C697" s="21" t="s">
        <v>83</v>
      </c>
      <c r="D697" s="109" t="s">
        <v>2140</v>
      </c>
      <c r="E697" s="21" t="s">
        <v>48</v>
      </c>
      <c r="F697" s="21"/>
      <c r="G697" s="66"/>
      <c r="H697" s="64"/>
      <c r="I697" s="64"/>
      <c r="J697" s="23" t="s">
        <v>2051</v>
      </c>
      <c r="K697" s="64"/>
      <c r="L697" s="21" t="s">
        <v>2052</v>
      </c>
      <c r="M697" s="64"/>
      <c r="N697" s="66"/>
      <c r="O697" s="64"/>
      <c r="P697" s="64"/>
      <c r="Q697" s="24" t="s">
        <v>2051</v>
      </c>
      <c r="R697" s="64"/>
      <c r="S697" s="21" t="s">
        <v>2052</v>
      </c>
      <c r="T697" s="28">
        <v>99</v>
      </c>
      <c r="U697" s="27">
        <v>43963</v>
      </c>
      <c r="V697" s="27">
        <v>43963</v>
      </c>
      <c r="W697" s="95">
        <v>99</v>
      </c>
    </row>
    <row r="698" spans="1:23" ht="45" customHeight="1">
      <c r="A698" s="31">
        <v>0</v>
      </c>
      <c r="B698" s="64">
        <v>80204250585</v>
      </c>
      <c r="C698" s="21" t="s">
        <v>83</v>
      </c>
      <c r="D698" s="21" t="s">
        <v>2141</v>
      </c>
      <c r="E698" s="21" t="s">
        <v>48</v>
      </c>
      <c r="F698" s="21"/>
      <c r="G698" s="66"/>
      <c r="H698" s="64"/>
      <c r="I698" s="64"/>
      <c r="J698" s="23" t="s">
        <v>2085</v>
      </c>
      <c r="K698" s="64"/>
      <c r="L698" s="21" t="s">
        <v>2086</v>
      </c>
      <c r="M698" s="64"/>
      <c r="N698" s="66"/>
      <c r="O698" s="64"/>
      <c r="P698" s="64"/>
      <c r="Q698" s="24" t="s">
        <v>2085</v>
      </c>
      <c r="R698" s="64"/>
      <c r="S698" s="21" t="s">
        <v>2086</v>
      </c>
      <c r="T698" s="28">
        <v>800</v>
      </c>
      <c r="U698" s="27">
        <v>43999</v>
      </c>
      <c r="V698" s="27">
        <v>43999</v>
      </c>
      <c r="W698" s="95">
        <v>0</v>
      </c>
    </row>
    <row r="699" spans="1:23" ht="45" customHeight="1">
      <c r="A699" s="31" t="s">
        <v>2142</v>
      </c>
      <c r="B699" s="64">
        <v>80204250585</v>
      </c>
      <c r="C699" s="21" t="s">
        <v>83</v>
      </c>
      <c r="D699" s="21" t="s">
        <v>2143</v>
      </c>
      <c r="E699" s="21" t="s">
        <v>48</v>
      </c>
      <c r="F699" s="21"/>
      <c r="G699" s="66"/>
      <c r="H699" s="64"/>
      <c r="I699" s="64"/>
      <c r="J699" s="23" t="s">
        <v>2144</v>
      </c>
      <c r="K699" s="64"/>
      <c r="L699" s="21" t="s">
        <v>2145</v>
      </c>
      <c r="M699" s="64"/>
      <c r="N699" s="66"/>
      <c r="O699" s="64"/>
      <c r="P699" s="64"/>
      <c r="Q699" s="23" t="s">
        <v>2144</v>
      </c>
      <c r="R699" s="64"/>
      <c r="S699" s="21" t="s">
        <v>2145</v>
      </c>
      <c r="T699" s="28">
        <v>4838</v>
      </c>
      <c r="U699" s="27">
        <v>43831</v>
      </c>
      <c r="V699" s="27">
        <v>44196</v>
      </c>
      <c r="W699" s="95">
        <v>4740</v>
      </c>
    </row>
    <row r="700" spans="1:23" ht="57.75" customHeight="1">
      <c r="A700" s="31">
        <v>0</v>
      </c>
      <c r="B700" s="64">
        <v>80204250585</v>
      </c>
      <c r="C700" s="21" t="s">
        <v>83</v>
      </c>
      <c r="D700" s="109" t="s">
        <v>2146</v>
      </c>
      <c r="E700" s="21" t="s">
        <v>48</v>
      </c>
      <c r="F700" s="21"/>
      <c r="G700" s="66"/>
      <c r="H700" s="64"/>
      <c r="I700" s="64"/>
      <c r="J700" s="23" t="s">
        <v>2112</v>
      </c>
      <c r="K700" s="64"/>
      <c r="L700" s="21" t="s">
        <v>2113</v>
      </c>
      <c r="M700" s="64"/>
      <c r="N700" s="66"/>
      <c r="O700" s="64"/>
      <c r="P700" s="64"/>
      <c r="Q700" s="24" t="s">
        <v>2112</v>
      </c>
      <c r="R700" s="64"/>
      <c r="S700" s="21" t="s">
        <v>2113</v>
      </c>
      <c r="T700" s="28">
        <v>350</v>
      </c>
      <c r="U700" s="27">
        <v>44004</v>
      </c>
      <c r="V700" s="27">
        <v>44004</v>
      </c>
      <c r="W700" s="95">
        <v>350</v>
      </c>
    </row>
    <row r="701" spans="1:23" ht="57.75" customHeight="1">
      <c r="A701" s="31">
        <v>0</v>
      </c>
      <c r="B701" s="64">
        <v>80204250585</v>
      </c>
      <c r="C701" s="21" t="s">
        <v>83</v>
      </c>
      <c r="D701" s="109" t="s">
        <v>2146</v>
      </c>
      <c r="E701" s="21" t="s">
        <v>48</v>
      </c>
      <c r="F701" s="21"/>
      <c r="G701" s="66"/>
      <c r="H701" s="64"/>
      <c r="I701" s="64"/>
      <c r="J701" s="23" t="s">
        <v>2112</v>
      </c>
      <c r="K701" s="64"/>
      <c r="L701" s="21" t="s">
        <v>2113</v>
      </c>
      <c r="M701" s="64"/>
      <c r="N701" s="66"/>
      <c r="O701" s="64"/>
      <c r="P701" s="64"/>
      <c r="Q701" s="24" t="s">
        <v>2112</v>
      </c>
      <c r="R701" s="64"/>
      <c r="S701" s="21" t="s">
        <v>2113</v>
      </c>
      <c r="T701" s="28">
        <v>350</v>
      </c>
      <c r="U701" s="27">
        <v>44004</v>
      </c>
      <c r="V701" s="27">
        <v>44004</v>
      </c>
      <c r="W701" s="95">
        <v>350</v>
      </c>
    </row>
    <row r="702" spans="1:23" ht="72" customHeight="1">
      <c r="A702" s="110" t="s">
        <v>2147</v>
      </c>
      <c r="B702" s="64">
        <v>80204250585</v>
      </c>
      <c r="C702" s="21" t="s">
        <v>83</v>
      </c>
      <c r="D702" s="109" t="s">
        <v>2148</v>
      </c>
      <c r="E702" s="21" t="s">
        <v>48</v>
      </c>
      <c r="F702" s="21"/>
      <c r="G702" s="66"/>
      <c r="H702" s="64"/>
      <c r="I702" s="64"/>
      <c r="J702" s="23" t="s">
        <v>2149</v>
      </c>
      <c r="K702" s="64"/>
      <c r="L702" s="21" t="s">
        <v>2150</v>
      </c>
      <c r="M702" s="64"/>
      <c r="N702" s="66"/>
      <c r="O702" s="64"/>
      <c r="P702" s="64"/>
      <c r="Q702" s="23" t="s">
        <v>2149</v>
      </c>
      <c r="R702" s="64"/>
      <c r="S702" s="21" t="s">
        <v>2150</v>
      </c>
      <c r="T702" s="28">
        <v>1664</v>
      </c>
      <c r="U702" s="27">
        <v>44008</v>
      </c>
      <c r="V702" s="27">
        <v>44008</v>
      </c>
      <c r="W702" s="95">
        <v>1664</v>
      </c>
    </row>
    <row r="703" spans="1:23" ht="30" customHeight="1">
      <c r="A703" s="31">
        <v>0</v>
      </c>
      <c r="B703" s="64">
        <v>80204250585</v>
      </c>
      <c r="C703" s="21" t="s">
        <v>83</v>
      </c>
      <c r="D703" s="109" t="s">
        <v>2151</v>
      </c>
      <c r="E703" s="21" t="s">
        <v>48</v>
      </c>
      <c r="F703" s="21"/>
      <c r="G703" s="66"/>
      <c r="H703" s="64"/>
      <c r="I703" s="64"/>
      <c r="J703" s="23" t="s">
        <v>2152</v>
      </c>
      <c r="K703" s="64"/>
      <c r="L703" s="21" t="s">
        <v>2153</v>
      </c>
      <c r="M703" s="64"/>
      <c r="N703" s="66"/>
      <c r="O703" s="64"/>
      <c r="P703" s="64"/>
      <c r="Q703" s="23" t="s">
        <v>2152</v>
      </c>
      <c r="R703" s="64"/>
      <c r="S703" s="21" t="s">
        <v>2153</v>
      </c>
      <c r="T703" s="28">
        <v>2880</v>
      </c>
      <c r="U703" s="27">
        <v>44099</v>
      </c>
      <c r="V703" s="27">
        <v>44177</v>
      </c>
      <c r="W703" s="95">
        <v>2071</v>
      </c>
    </row>
    <row r="704" spans="1:23" ht="86.25" customHeight="1">
      <c r="A704" s="31" t="s">
        <v>2154</v>
      </c>
      <c r="B704" s="64">
        <v>80204250585</v>
      </c>
      <c r="C704" s="21" t="s">
        <v>83</v>
      </c>
      <c r="D704" s="109" t="s">
        <v>2155</v>
      </c>
      <c r="E704" s="21" t="s">
        <v>39</v>
      </c>
      <c r="F704" s="21"/>
      <c r="G704" s="66"/>
      <c r="H704" s="64"/>
      <c r="I704" s="64"/>
      <c r="J704" s="111" t="s">
        <v>2156</v>
      </c>
      <c r="K704" s="64"/>
      <c r="L704" s="21" t="s">
        <v>877</v>
      </c>
      <c r="M704" s="64"/>
      <c r="N704" s="66"/>
      <c r="O704" s="64"/>
      <c r="P704" s="64"/>
      <c r="Q704" s="111" t="s">
        <v>2156</v>
      </c>
      <c r="R704" s="64"/>
      <c r="S704" s="21" t="s">
        <v>877</v>
      </c>
      <c r="T704" s="28">
        <v>160000</v>
      </c>
      <c r="U704" s="27">
        <v>43831</v>
      </c>
      <c r="V704" s="27">
        <v>44196</v>
      </c>
      <c r="W704" s="95">
        <f>24540+4907.5</f>
        <v>29447.5</v>
      </c>
    </row>
    <row r="705" spans="1:23" ht="30" customHeight="1">
      <c r="A705" s="31">
        <v>0</v>
      </c>
      <c r="B705" s="64">
        <v>80204250585</v>
      </c>
      <c r="C705" s="21" t="s">
        <v>83</v>
      </c>
      <c r="D705" s="21" t="s">
        <v>2157</v>
      </c>
      <c r="E705" s="21" t="s">
        <v>48</v>
      </c>
      <c r="F705" s="21"/>
      <c r="G705" s="66"/>
      <c r="H705" s="64"/>
      <c r="I705" s="64"/>
      <c r="J705" s="111" t="s">
        <v>2158</v>
      </c>
      <c r="K705" s="64"/>
      <c r="L705" s="21" t="s">
        <v>2159</v>
      </c>
      <c r="M705" s="64"/>
      <c r="N705" s="66"/>
      <c r="O705" s="64"/>
      <c r="P705" s="64"/>
      <c r="Q705" s="111" t="s">
        <v>2158</v>
      </c>
      <c r="R705" s="64"/>
      <c r="S705" s="21" t="s">
        <v>2159</v>
      </c>
      <c r="T705" s="28">
        <v>450</v>
      </c>
      <c r="U705" s="112">
        <v>44089</v>
      </c>
      <c r="V705" s="112">
        <v>44089</v>
      </c>
      <c r="W705" s="95">
        <v>450</v>
      </c>
    </row>
    <row r="706" spans="1:23" ht="60" customHeight="1">
      <c r="A706" s="31" t="s">
        <v>2160</v>
      </c>
      <c r="B706" s="64">
        <v>80204250585</v>
      </c>
      <c r="C706" s="21" t="s">
        <v>83</v>
      </c>
      <c r="D706" s="21" t="s">
        <v>2161</v>
      </c>
      <c r="E706" s="21" t="s">
        <v>48</v>
      </c>
      <c r="F706" s="21"/>
      <c r="G706" s="66"/>
      <c r="H706" s="64"/>
      <c r="I706" s="64"/>
      <c r="J706" s="111" t="s">
        <v>2162</v>
      </c>
      <c r="K706" s="64"/>
      <c r="L706" s="21" t="s">
        <v>2163</v>
      </c>
      <c r="M706" s="64"/>
      <c r="N706" s="66"/>
      <c r="O706" s="64"/>
      <c r="P706" s="64"/>
      <c r="Q706" s="111" t="s">
        <v>2162</v>
      </c>
      <c r="R706" s="64"/>
      <c r="S706" s="21" t="s">
        <v>2163</v>
      </c>
      <c r="T706" s="28">
        <v>2850</v>
      </c>
      <c r="U706" s="112">
        <v>44105</v>
      </c>
      <c r="V706" s="112">
        <v>44196</v>
      </c>
      <c r="W706" s="95">
        <v>2850</v>
      </c>
    </row>
    <row r="707" spans="1:23" ht="57.75" customHeight="1">
      <c r="A707" s="31">
        <v>0</v>
      </c>
      <c r="B707" s="64">
        <v>80204250585</v>
      </c>
      <c r="C707" s="21" t="s">
        <v>83</v>
      </c>
      <c r="D707" s="109" t="s">
        <v>2164</v>
      </c>
      <c r="E707" s="21" t="s">
        <v>48</v>
      </c>
      <c r="F707" s="21"/>
      <c r="G707" s="66"/>
      <c r="H707" s="64"/>
      <c r="I707" s="64"/>
      <c r="J707" s="23" t="s">
        <v>2051</v>
      </c>
      <c r="K707" s="64"/>
      <c r="L707" s="21" t="s">
        <v>2052</v>
      </c>
      <c r="M707" s="64"/>
      <c r="N707" s="66"/>
      <c r="O707" s="64"/>
      <c r="P707" s="64"/>
      <c r="Q707" s="24" t="s">
        <v>2051</v>
      </c>
      <c r="R707" s="64"/>
      <c r="S707" s="21" t="s">
        <v>2052</v>
      </c>
      <c r="T707" s="28">
        <v>190</v>
      </c>
      <c r="U707" s="27">
        <v>44097</v>
      </c>
      <c r="V707" s="27">
        <v>44097</v>
      </c>
      <c r="W707" s="95">
        <v>190</v>
      </c>
    </row>
    <row r="708" spans="1:23" ht="57.75" customHeight="1">
      <c r="A708" s="31">
        <v>0</v>
      </c>
      <c r="B708" s="64">
        <v>80204250585</v>
      </c>
      <c r="C708" s="21" t="s">
        <v>83</v>
      </c>
      <c r="D708" s="109" t="s">
        <v>2164</v>
      </c>
      <c r="E708" s="21" t="s">
        <v>48</v>
      </c>
      <c r="F708" s="21"/>
      <c r="G708" s="66"/>
      <c r="H708" s="64"/>
      <c r="I708" s="64"/>
      <c r="J708" s="23" t="s">
        <v>2051</v>
      </c>
      <c r="K708" s="64"/>
      <c r="L708" s="21" t="s">
        <v>2052</v>
      </c>
      <c r="M708" s="64"/>
      <c r="N708" s="66"/>
      <c r="O708" s="64"/>
      <c r="P708" s="64"/>
      <c r="Q708" s="24" t="s">
        <v>2051</v>
      </c>
      <c r="R708" s="64"/>
      <c r="S708" s="21" t="s">
        <v>2052</v>
      </c>
      <c r="T708" s="28">
        <v>190</v>
      </c>
      <c r="U708" s="27">
        <v>44097</v>
      </c>
      <c r="V708" s="27">
        <v>44097</v>
      </c>
      <c r="W708" s="95">
        <v>190</v>
      </c>
    </row>
    <row r="709" spans="1:23" ht="72" customHeight="1">
      <c r="A709" s="31">
        <v>0</v>
      </c>
      <c r="B709" s="64">
        <v>80204250585</v>
      </c>
      <c r="C709" s="21" t="s">
        <v>83</v>
      </c>
      <c r="D709" s="109" t="s">
        <v>2165</v>
      </c>
      <c r="E709" s="21" t="s">
        <v>48</v>
      </c>
      <c r="F709" s="21"/>
      <c r="G709" s="66"/>
      <c r="H709" s="64"/>
      <c r="I709" s="64"/>
      <c r="J709" s="23" t="s">
        <v>2051</v>
      </c>
      <c r="K709" s="64"/>
      <c r="L709" s="21" t="s">
        <v>2052</v>
      </c>
      <c r="M709" s="64"/>
      <c r="N709" s="66"/>
      <c r="O709" s="64"/>
      <c r="P709" s="64"/>
      <c r="Q709" s="24" t="s">
        <v>2051</v>
      </c>
      <c r="R709" s="64"/>
      <c r="S709" s="21" t="s">
        <v>2052</v>
      </c>
      <c r="T709" s="28">
        <v>320</v>
      </c>
      <c r="U709" s="27">
        <v>44104</v>
      </c>
      <c r="V709" s="27">
        <v>44104</v>
      </c>
      <c r="W709" s="95">
        <v>320</v>
      </c>
    </row>
    <row r="710" spans="1:23" ht="72" customHeight="1">
      <c r="A710" s="31" t="s">
        <v>2166</v>
      </c>
      <c r="B710" s="64">
        <v>80204250585</v>
      </c>
      <c r="C710" s="21" t="s">
        <v>83</v>
      </c>
      <c r="D710" s="109" t="s">
        <v>2167</v>
      </c>
      <c r="E710" s="21" t="s">
        <v>48</v>
      </c>
      <c r="F710" s="21"/>
      <c r="G710" s="66"/>
      <c r="H710" s="64"/>
      <c r="I710" s="64"/>
      <c r="J710" s="23" t="s">
        <v>2144</v>
      </c>
      <c r="K710" s="64"/>
      <c r="L710" s="21" t="s">
        <v>2145</v>
      </c>
      <c r="M710" s="64"/>
      <c r="N710" s="66"/>
      <c r="O710" s="64"/>
      <c r="P710" s="64"/>
      <c r="Q710" s="23" t="s">
        <v>2144</v>
      </c>
      <c r="R710" s="64"/>
      <c r="S710" s="21" t="s">
        <v>2145</v>
      </c>
      <c r="T710" s="28">
        <v>1080</v>
      </c>
      <c r="U710" s="27">
        <v>43831</v>
      </c>
      <c r="V710" s="27">
        <v>44196</v>
      </c>
      <c r="W710" s="95">
        <v>1080</v>
      </c>
    </row>
    <row r="711" spans="1:23" ht="86.25" customHeight="1">
      <c r="A711" s="31" t="s">
        <v>2166</v>
      </c>
      <c r="B711" s="64">
        <v>80204250585</v>
      </c>
      <c r="C711" s="21" t="s">
        <v>83</v>
      </c>
      <c r="D711" s="109" t="s">
        <v>2168</v>
      </c>
      <c r="E711" s="21" t="s">
        <v>48</v>
      </c>
      <c r="F711" s="21"/>
      <c r="G711" s="66"/>
      <c r="H711" s="64"/>
      <c r="I711" s="64"/>
      <c r="J711" s="23" t="s">
        <v>2169</v>
      </c>
      <c r="K711" s="64"/>
      <c r="L711" s="21" t="s">
        <v>2170</v>
      </c>
      <c r="M711" s="64"/>
      <c r="N711" s="66"/>
      <c r="O711" s="64"/>
      <c r="P711" s="64"/>
      <c r="Q711" s="23" t="s">
        <v>2169</v>
      </c>
      <c r="R711" s="64"/>
      <c r="S711" s="21" t="s">
        <v>2170</v>
      </c>
      <c r="T711" s="28">
        <v>2379</v>
      </c>
      <c r="U711" s="27">
        <v>43831</v>
      </c>
      <c r="V711" s="27">
        <v>44196</v>
      </c>
      <c r="W711" s="95">
        <v>0</v>
      </c>
    </row>
    <row r="712" spans="1:23" ht="75" customHeight="1">
      <c r="A712" s="31">
        <v>0</v>
      </c>
      <c r="B712" s="64">
        <v>80204250585</v>
      </c>
      <c r="C712" s="21" t="s">
        <v>83</v>
      </c>
      <c r="D712" s="21" t="s">
        <v>2171</v>
      </c>
      <c r="E712" s="21" t="s">
        <v>48</v>
      </c>
      <c r="F712" s="21"/>
      <c r="G712" s="66"/>
      <c r="H712" s="64"/>
      <c r="I712" s="64"/>
      <c r="J712" s="23" t="s">
        <v>2124</v>
      </c>
      <c r="K712" s="64"/>
      <c r="L712" s="21" t="s">
        <v>2125</v>
      </c>
      <c r="M712" s="64"/>
      <c r="N712" s="66"/>
      <c r="O712" s="64"/>
      <c r="P712" s="64"/>
      <c r="Q712" s="24" t="s">
        <v>2124</v>
      </c>
      <c r="R712" s="64"/>
      <c r="S712" s="21" t="s">
        <v>2125</v>
      </c>
      <c r="T712" s="28">
        <v>2400</v>
      </c>
      <c r="U712" s="27">
        <v>44099</v>
      </c>
      <c r="V712" s="27">
        <v>44099</v>
      </c>
      <c r="W712" s="95">
        <v>2400</v>
      </c>
    </row>
    <row r="713" spans="1:23" ht="43.5" customHeight="1">
      <c r="A713" s="31">
        <v>0</v>
      </c>
      <c r="B713" s="64">
        <v>80204250585</v>
      </c>
      <c r="C713" s="21" t="s">
        <v>83</v>
      </c>
      <c r="D713" s="109" t="s">
        <v>2172</v>
      </c>
      <c r="E713" s="21" t="s">
        <v>48</v>
      </c>
      <c r="F713" s="21"/>
      <c r="G713" s="66"/>
      <c r="H713" s="64"/>
      <c r="I713" s="64"/>
      <c r="J713" s="23" t="s">
        <v>2112</v>
      </c>
      <c r="K713" s="64"/>
      <c r="L713" s="21" t="s">
        <v>2113</v>
      </c>
      <c r="M713" s="64"/>
      <c r="N713" s="66"/>
      <c r="O713" s="64"/>
      <c r="P713" s="64"/>
      <c r="Q713" s="24" t="s">
        <v>2112</v>
      </c>
      <c r="R713" s="64"/>
      <c r="S713" s="21" t="s">
        <v>2113</v>
      </c>
      <c r="T713" s="28">
        <v>1250</v>
      </c>
      <c r="U713" s="27">
        <v>44165</v>
      </c>
      <c r="V713" s="27">
        <v>44168</v>
      </c>
      <c r="W713" s="95">
        <v>1250</v>
      </c>
    </row>
    <row r="714" spans="1:23" ht="86.25" customHeight="1">
      <c r="A714" s="31">
        <v>0</v>
      </c>
      <c r="B714" s="64">
        <v>80204250585</v>
      </c>
      <c r="C714" s="21" t="s">
        <v>83</v>
      </c>
      <c r="D714" s="109" t="s">
        <v>2173</v>
      </c>
      <c r="E714" s="21" t="s">
        <v>48</v>
      </c>
      <c r="F714" s="21"/>
      <c r="G714" s="66"/>
      <c r="H714" s="64"/>
      <c r="I714" s="64"/>
      <c r="J714" s="23" t="s">
        <v>2051</v>
      </c>
      <c r="K714" s="64"/>
      <c r="L714" s="21" t="s">
        <v>2052</v>
      </c>
      <c r="M714" s="64"/>
      <c r="N714" s="66"/>
      <c r="O714" s="64"/>
      <c r="P714" s="64"/>
      <c r="Q714" s="24" t="s">
        <v>2051</v>
      </c>
      <c r="R714" s="64"/>
      <c r="S714" s="21" t="s">
        <v>2052</v>
      </c>
      <c r="T714" s="28">
        <v>190</v>
      </c>
      <c r="U714" s="27">
        <v>44111</v>
      </c>
      <c r="V714" s="27">
        <v>44111</v>
      </c>
      <c r="W714" s="95">
        <v>190</v>
      </c>
    </row>
    <row r="715" spans="1:23" ht="90" customHeight="1">
      <c r="A715" s="31">
        <v>0</v>
      </c>
      <c r="B715" s="64">
        <v>80204250585</v>
      </c>
      <c r="C715" s="21" t="s">
        <v>83</v>
      </c>
      <c r="D715" s="21" t="s">
        <v>2174</v>
      </c>
      <c r="E715" s="21" t="s">
        <v>48</v>
      </c>
      <c r="F715" s="21"/>
      <c r="G715" s="66"/>
      <c r="H715" s="64"/>
      <c r="I715" s="64"/>
      <c r="J715" s="23" t="s">
        <v>2085</v>
      </c>
      <c r="K715" s="64"/>
      <c r="L715" s="21" t="s">
        <v>2086</v>
      </c>
      <c r="M715" s="64"/>
      <c r="N715" s="66"/>
      <c r="O715" s="64"/>
      <c r="P715" s="64"/>
      <c r="Q715" s="24" t="s">
        <v>2085</v>
      </c>
      <c r="R715" s="64"/>
      <c r="S715" s="21" t="s">
        <v>2086</v>
      </c>
      <c r="T715" s="28">
        <v>3500</v>
      </c>
      <c r="U715" s="27">
        <v>44119</v>
      </c>
      <c r="V715" s="27">
        <v>44120</v>
      </c>
      <c r="W715" s="95">
        <v>3500</v>
      </c>
    </row>
    <row r="716" spans="1:23" ht="30" customHeight="1">
      <c r="A716" s="31">
        <v>0</v>
      </c>
      <c r="B716" s="64">
        <v>80204250585</v>
      </c>
      <c r="C716" s="21" t="s">
        <v>83</v>
      </c>
      <c r="D716" s="21" t="s">
        <v>2175</v>
      </c>
      <c r="E716" s="21" t="s">
        <v>48</v>
      </c>
      <c r="F716" s="21"/>
      <c r="G716" s="66"/>
      <c r="H716" s="64"/>
      <c r="I716" s="64"/>
      <c r="J716" s="23" t="s">
        <v>2085</v>
      </c>
      <c r="K716" s="64"/>
      <c r="L716" s="21" t="s">
        <v>2086</v>
      </c>
      <c r="M716" s="64"/>
      <c r="N716" s="66"/>
      <c r="O716" s="64"/>
      <c r="P716" s="64"/>
      <c r="Q716" s="24" t="s">
        <v>2085</v>
      </c>
      <c r="R716" s="64"/>
      <c r="S716" s="21" t="s">
        <v>2086</v>
      </c>
      <c r="T716" s="28">
        <v>1180</v>
      </c>
      <c r="U716" s="27">
        <v>44111</v>
      </c>
      <c r="V716" s="27">
        <v>44111</v>
      </c>
      <c r="W716" s="95">
        <v>1180</v>
      </c>
    </row>
    <row r="717" spans="1:23" ht="75" customHeight="1">
      <c r="A717" s="31">
        <v>0</v>
      </c>
      <c r="B717" s="64">
        <v>80204250585</v>
      </c>
      <c r="C717" s="21" t="s">
        <v>83</v>
      </c>
      <c r="D717" s="21" t="s">
        <v>2176</v>
      </c>
      <c r="E717" s="21" t="s">
        <v>48</v>
      </c>
      <c r="F717" s="21"/>
      <c r="G717" s="66"/>
      <c r="H717" s="64"/>
      <c r="I717" s="64"/>
      <c r="J717" s="23" t="s">
        <v>2177</v>
      </c>
      <c r="K717" s="64"/>
      <c r="L717" s="22" t="s">
        <v>2178</v>
      </c>
      <c r="M717" s="64"/>
      <c r="N717" s="66"/>
      <c r="O717" s="64"/>
      <c r="P717" s="64"/>
      <c r="Q717" s="23" t="s">
        <v>2177</v>
      </c>
      <c r="R717" s="64"/>
      <c r="S717" s="22" t="s">
        <v>2178</v>
      </c>
      <c r="T717" s="28">
        <v>80</v>
      </c>
      <c r="U717" s="27">
        <v>44120</v>
      </c>
      <c r="V717" s="27">
        <v>44120</v>
      </c>
      <c r="W717" s="95">
        <v>80</v>
      </c>
    </row>
    <row r="718" spans="1:23" ht="57.75" customHeight="1">
      <c r="A718" s="31">
        <v>0</v>
      </c>
      <c r="B718" s="64">
        <v>80204250585</v>
      </c>
      <c r="C718" s="21" t="s">
        <v>83</v>
      </c>
      <c r="D718" s="109" t="s">
        <v>2179</v>
      </c>
      <c r="E718" s="21" t="s">
        <v>48</v>
      </c>
      <c r="F718" s="21"/>
      <c r="G718" s="66"/>
      <c r="H718" s="64"/>
      <c r="I718" s="64"/>
      <c r="J718" s="23" t="s">
        <v>2135</v>
      </c>
      <c r="K718" s="64"/>
      <c r="L718" s="21" t="s">
        <v>2136</v>
      </c>
      <c r="M718" s="64"/>
      <c r="N718" s="66"/>
      <c r="O718" s="64"/>
      <c r="P718" s="64"/>
      <c r="Q718" s="23" t="s">
        <v>2135</v>
      </c>
      <c r="R718" s="64"/>
      <c r="S718" s="21" t="s">
        <v>2136</v>
      </c>
      <c r="T718" s="28">
        <v>600</v>
      </c>
      <c r="U718" s="27">
        <v>44132</v>
      </c>
      <c r="V718" s="27">
        <v>44134</v>
      </c>
      <c r="W718" s="95">
        <v>600</v>
      </c>
    </row>
    <row r="719" spans="1:23" ht="57.75" customHeight="1">
      <c r="A719" s="31">
        <v>0</v>
      </c>
      <c r="B719" s="64">
        <v>80204250585</v>
      </c>
      <c r="C719" s="21" t="s">
        <v>83</v>
      </c>
      <c r="D719" s="109" t="s">
        <v>2179</v>
      </c>
      <c r="E719" s="21" t="s">
        <v>48</v>
      </c>
      <c r="F719" s="21"/>
      <c r="G719" s="66"/>
      <c r="H719" s="64"/>
      <c r="I719" s="64"/>
      <c r="J719" s="23" t="s">
        <v>2135</v>
      </c>
      <c r="K719" s="64"/>
      <c r="L719" s="21" t="s">
        <v>2136</v>
      </c>
      <c r="M719" s="64"/>
      <c r="N719" s="66"/>
      <c r="O719" s="64"/>
      <c r="P719" s="64"/>
      <c r="Q719" s="23" t="s">
        <v>2135</v>
      </c>
      <c r="R719" s="64"/>
      <c r="S719" s="21" t="s">
        <v>2136</v>
      </c>
      <c r="T719" s="28">
        <v>600</v>
      </c>
      <c r="U719" s="27">
        <v>44132</v>
      </c>
      <c r="V719" s="27">
        <v>44134</v>
      </c>
      <c r="W719" s="95">
        <v>600</v>
      </c>
    </row>
    <row r="720" spans="1:23" ht="60" customHeight="1">
      <c r="A720" s="31">
        <v>0</v>
      </c>
      <c r="B720" s="64">
        <v>80204250585</v>
      </c>
      <c r="C720" s="21" t="s">
        <v>83</v>
      </c>
      <c r="D720" s="109" t="s">
        <v>2180</v>
      </c>
      <c r="E720" s="21" t="s">
        <v>48</v>
      </c>
      <c r="F720" s="21"/>
      <c r="G720" s="66"/>
      <c r="H720" s="64"/>
      <c r="I720" s="64"/>
      <c r="J720" s="23" t="s">
        <v>2181</v>
      </c>
      <c r="K720" s="64"/>
      <c r="L720" s="21" t="s">
        <v>2182</v>
      </c>
      <c r="M720" s="64"/>
      <c r="N720" s="66"/>
      <c r="O720" s="64"/>
      <c r="P720" s="64"/>
      <c r="Q720" s="23" t="s">
        <v>2181</v>
      </c>
      <c r="R720" s="64"/>
      <c r="S720" s="21" t="s">
        <v>2182</v>
      </c>
      <c r="T720" s="28">
        <v>240</v>
      </c>
      <c r="U720" s="27">
        <v>44139</v>
      </c>
      <c r="V720" s="27">
        <v>44149</v>
      </c>
      <c r="W720" s="95">
        <v>240</v>
      </c>
    </row>
    <row r="721" spans="1:23" ht="60" customHeight="1">
      <c r="A721" s="31">
        <v>0</v>
      </c>
      <c r="B721" s="64">
        <v>80204250585</v>
      </c>
      <c r="C721" s="21" t="s">
        <v>83</v>
      </c>
      <c r="D721" s="21" t="s">
        <v>2183</v>
      </c>
      <c r="E721" s="21" t="s">
        <v>48</v>
      </c>
      <c r="F721" s="21"/>
      <c r="G721" s="66"/>
      <c r="H721" s="64"/>
      <c r="I721" s="64"/>
      <c r="J721" s="23" t="s">
        <v>2085</v>
      </c>
      <c r="K721" s="64"/>
      <c r="L721" s="21" t="s">
        <v>2086</v>
      </c>
      <c r="M721" s="64"/>
      <c r="N721" s="66"/>
      <c r="O721" s="64"/>
      <c r="P721" s="64"/>
      <c r="Q721" s="24" t="s">
        <v>2085</v>
      </c>
      <c r="R721" s="64"/>
      <c r="S721" s="21" t="s">
        <v>2086</v>
      </c>
      <c r="T721" s="28">
        <v>550</v>
      </c>
      <c r="U721" s="27">
        <v>44141</v>
      </c>
      <c r="V721" s="27">
        <v>44141</v>
      </c>
      <c r="W721" s="95">
        <v>550</v>
      </c>
    </row>
    <row r="722" spans="1:23" ht="60" customHeight="1">
      <c r="A722" s="31">
        <v>0</v>
      </c>
      <c r="B722" s="64">
        <v>80204250585</v>
      </c>
      <c r="C722" s="21" t="s">
        <v>83</v>
      </c>
      <c r="D722" s="21" t="s">
        <v>2184</v>
      </c>
      <c r="E722" s="21" t="s">
        <v>48</v>
      </c>
      <c r="F722" s="21"/>
      <c r="G722" s="66"/>
      <c r="H722" s="64"/>
      <c r="I722" s="64"/>
      <c r="J722" s="23" t="s">
        <v>2185</v>
      </c>
      <c r="K722" s="64"/>
      <c r="L722" s="21" t="s">
        <v>2186</v>
      </c>
      <c r="M722" s="64"/>
      <c r="N722" s="66"/>
      <c r="O722" s="64"/>
      <c r="P722" s="64"/>
      <c r="Q722" s="23" t="s">
        <v>2185</v>
      </c>
      <c r="R722" s="64"/>
      <c r="S722" s="21" t="s">
        <v>2186</v>
      </c>
      <c r="T722" s="28">
        <v>1018</v>
      </c>
      <c r="U722" s="27">
        <v>44144</v>
      </c>
      <c r="V722" s="27">
        <v>44146</v>
      </c>
      <c r="W722" s="95">
        <v>570</v>
      </c>
    </row>
    <row r="723" spans="1:23" ht="60" customHeight="1">
      <c r="A723" s="31">
        <v>0</v>
      </c>
      <c r="B723" s="64">
        <v>80204250585</v>
      </c>
      <c r="C723" s="21" t="s">
        <v>83</v>
      </c>
      <c r="D723" s="21" t="s">
        <v>2187</v>
      </c>
      <c r="E723" s="21" t="s">
        <v>48</v>
      </c>
      <c r="F723" s="21"/>
      <c r="G723" s="66"/>
      <c r="H723" s="64"/>
      <c r="I723" s="64"/>
      <c r="J723" s="23" t="s">
        <v>2066</v>
      </c>
      <c r="K723" s="64"/>
      <c r="L723" s="21" t="s">
        <v>2067</v>
      </c>
      <c r="M723" s="64"/>
      <c r="N723" s="64"/>
      <c r="O723" s="64"/>
      <c r="P723" s="64"/>
      <c r="Q723" s="23" t="s">
        <v>2066</v>
      </c>
      <c r="R723" s="64"/>
      <c r="S723" s="21" t="s">
        <v>2067</v>
      </c>
      <c r="T723" s="28">
        <v>17400</v>
      </c>
      <c r="U723" s="27">
        <v>44105</v>
      </c>
      <c r="V723" s="27">
        <v>44287</v>
      </c>
      <c r="W723" s="95">
        <v>17400</v>
      </c>
    </row>
    <row r="724" spans="1:23" ht="30" customHeight="1">
      <c r="A724" s="120" t="s">
        <v>2188</v>
      </c>
      <c r="B724" s="64">
        <v>80204250585</v>
      </c>
      <c r="C724" s="21" t="s">
        <v>83</v>
      </c>
      <c r="D724" s="21" t="s">
        <v>2189</v>
      </c>
      <c r="E724" s="21" t="s">
        <v>48</v>
      </c>
      <c r="F724" s="21"/>
      <c r="G724" s="66"/>
      <c r="H724" s="64"/>
      <c r="I724" s="64"/>
      <c r="J724" s="23" t="s">
        <v>2190</v>
      </c>
      <c r="K724" s="64"/>
      <c r="L724" s="21" t="s">
        <v>2191</v>
      </c>
      <c r="M724" s="64"/>
      <c r="N724" s="64"/>
      <c r="O724" s="64"/>
      <c r="P724" s="64"/>
      <c r="Q724" s="23" t="s">
        <v>2190</v>
      </c>
      <c r="R724" s="64"/>
      <c r="S724" s="21" t="s">
        <v>2191</v>
      </c>
      <c r="T724" s="28">
        <v>2080</v>
      </c>
      <c r="U724" s="27">
        <v>44197</v>
      </c>
      <c r="V724" s="27">
        <v>44561</v>
      </c>
      <c r="W724" s="95">
        <v>0</v>
      </c>
    </row>
    <row r="725" spans="1:23" ht="30" customHeight="1">
      <c r="A725" s="120" t="s">
        <v>2192</v>
      </c>
      <c r="B725" s="64">
        <v>80204250585</v>
      </c>
      <c r="C725" s="21" t="s">
        <v>83</v>
      </c>
      <c r="D725" s="21" t="s">
        <v>2189</v>
      </c>
      <c r="E725" s="21" t="s">
        <v>48</v>
      </c>
      <c r="F725" s="21"/>
      <c r="G725" s="66"/>
      <c r="H725" s="64"/>
      <c r="I725" s="64"/>
      <c r="J725" s="23" t="s">
        <v>2193</v>
      </c>
      <c r="K725" s="64"/>
      <c r="L725" s="21" t="s">
        <v>2194</v>
      </c>
      <c r="M725" s="64"/>
      <c r="N725" s="64"/>
      <c r="O725" s="64"/>
      <c r="P725" s="64"/>
      <c r="Q725" s="23" t="s">
        <v>2193</v>
      </c>
      <c r="R725" s="64"/>
      <c r="S725" s="21" t="s">
        <v>2194</v>
      </c>
      <c r="T725" s="28">
        <v>1400</v>
      </c>
      <c r="U725" s="27">
        <v>44197</v>
      </c>
      <c r="V725" s="27">
        <v>44561</v>
      </c>
      <c r="W725" s="95">
        <v>1400</v>
      </c>
    </row>
    <row r="726" spans="1:23" ht="30" customHeight="1">
      <c r="A726" s="31" t="s">
        <v>2195</v>
      </c>
      <c r="B726" s="64">
        <v>80204250585</v>
      </c>
      <c r="C726" s="21" t="s">
        <v>83</v>
      </c>
      <c r="D726" s="21" t="s">
        <v>2189</v>
      </c>
      <c r="E726" s="21" t="s">
        <v>48</v>
      </c>
      <c r="F726" s="21"/>
      <c r="G726" s="66"/>
      <c r="H726" s="64"/>
      <c r="I726" s="64"/>
      <c r="J726" s="23" t="s">
        <v>2196</v>
      </c>
      <c r="K726" s="64"/>
      <c r="L726" s="21" t="s">
        <v>2197</v>
      </c>
      <c r="M726" s="64"/>
      <c r="N726" s="64"/>
      <c r="O726" s="64"/>
      <c r="P726" s="64"/>
      <c r="Q726" s="23" t="s">
        <v>2196</v>
      </c>
      <c r="R726" s="64"/>
      <c r="S726" s="21" t="s">
        <v>2197</v>
      </c>
      <c r="T726" s="28">
        <v>1600</v>
      </c>
      <c r="U726" s="27">
        <v>44197</v>
      </c>
      <c r="V726" s="27">
        <v>44561</v>
      </c>
      <c r="W726" s="95">
        <f>800+800</f>
        <v>1600</v>
      </c>
    </row>
    <row r="727" spans="1:23" ht="30" customHeight="1">
      <c r="A727" s="120" t="s">
        <v>2198</v>
      </c>
      <c r="B727" s="64">
        <v>80204250585</v>
      </c>
      <c r="C727" s="21" t="s">
        <v>83</v>
      </c>
      <c r="D727" s="21" t="s">
        <v>2189</v>
      </c>
      <c r="E727" s="21" t="s">
        <v>48</v>
      </c>
      <c r="F727" s="21"/>
      <c r="G727" s="66"/>
      <c r="H727" s="64"/>
      <c r="I727" s="64"/>
      <c r="J727" s="23" t="s">
        <v>2199</v>
      </c>
      <c r="K727" s="64"/>
      <c r="L727" s="21" t="s">
        <v>2200</v>
      </c>
      <c r="M727" s="64"/>
      <c r="N727" s="64"/>
      <c r="O727" s="64"/>
      <c r="P727" s="64"/>
      <c r="Q727" s="23" t="s">
        <v>2199</v>
      </c>
      <c r="R727" s="64"/>
      <c r="S727" s="21" t="s">
        <v>2200</v>
      </c>
      <c r="T727" s="28">
        <v>1800</v>
      </c>
      <c r="U727" s="27">
        <v>44197</v>
      </c>
      <c r="V727" s="27">
        <v>44561</v>
      </c>
      <c r="W727" s="95">
        <v>0</v>
      </c>
    </row>
    <row r="728" spans="1:23" ht="75" customHeight="1">
      <c r="A728" s="31">
        <v>0</v>
      </c>
      <c r="B728" s="64">
        <v>80204250585</v>
      </c>
      <c r="C728" s="21" t="s">
        <v>83</v>
      </c>
      <c r="D728" s="21" t="s">
        <v>2201</v>
      </c>
      <c r="E728" s="21" t="s">
        <v>48</v>
      </c>
      <c r="F728" s="21"/>
      <c r="G728" s="66"/>
      <c r="H728" s="64"/>
      <c r="I728" s="64"/>
      <c r="J728" s="23" t="s">
        <v>2202</v>
      </c>
      <c r="K728" s="64"/>
      <c r="L728" s="21" t="s">
        <v>2203</v>
      </c>
      <c r="M728" s="64"/>
      <c r="N728" s="66"/>
      <c r="O728" s="64"/>
      <c r="P728" s="64"/>
      <c r="Q728" s="23" t="s">
        <v>2202</v>
      </c>
      <c r="R728" s="64"/>
      <c r="S728" s="21" t="s">
        <v>2203</v>
      </c>
      <c r="T728" s="28">
        <v>1300</v>
      </c>
      <c r="U728" s="27">
        <v>44145</v>
      </c>
      <c r="V728" s="27">
        <v>44146</v>
      </c>
      <c r="W728" s="95">
        <v>1300</v>
      </c>
    </row>
    <row r="729" spans="1:23" ht="60" customHeight="1">
      <c r="A729" s="31">
        <v>0</v>
      </c>
      <c r="B729" s="64">
        <v>80204250585</v>
      </c>
      <c r="C729" s="21" t="s">
        <v>83</v>
      </c>
      <c r="D729" s="21" t="s">
        <v>2184</v>
      </c>
      <c r="E729" s="21" t="s">
        <v>48</v>
      </c>
      <c r="F729" s="21"/>
      <c r="G729" s="66"/>
      <c r="H729" s="64"/>
      <c r="I729" s="64"/>
      <c r="J729" s="23" t="s">
        <v>2185</v>
      </c>
      <c r="K729" s="64"/>
      <c r="L729" s="21" t="s">
        <v>2186</v>
      </c>
      <c r="M729" s="64"/>
      <c r="N729" s="66"/>
      <c r="O729" s="64"/>
      <c r="P729" s="64"/>
      <c r="Q729" s="23" t="s">
        <v>2185</v>
      </c>
      <c r="R729" s="64"/>
      <c r="S729" s="21" t="s">
        <v>2186</v>
      </c>
      <c r="T729" s="28">
        <v>1018</v>
      </c>
      <c r="U729" s="27">
        <v>44144</v>
      </c>
      <c r="V729" s="27">
        <v>44146</v>
      </c>
      <c r="W729" s="95">
        <v>570</v>
      </c>
    </row>
    <row r="730" spans="1:23" ht="72" customHeight="1">
      <c r="A730" s="31">
        <v>0</v>
      </c>
      <c r="B730" s="64">
        <v>80204250585</v>
      </c>
      <c r="C730" s="21" t="s">
        <v>83</v>
      </c>
      <c r="D730" s="109" t="s">
        <v>2204</v>
      </c>
      <c r="E730" s="21" t="s">
        <v>48</v>
      </c>
      <c r="F730" s="21"/>
      <c r="G730" s="66"/>
      <c r="H730" s="64"/>
      <c r="I730" s="64"/>
      <c r="J730" s="23" t="s">
        <v>2051</v>
      </c>
      <c r="K730" s="64"/>
      <c r="L730" s="21" t="s">
        <v>2052</v>
      </c>
      <c r="M730" s="64"/>
      <c r="N730" s="66"/>
      <c r="O730" s="64"/>
      <c r="P730" s="64"/>
      <c r="Q730" s="24" t="s">
        <v>2051</v>
      </c>
      <c r="R730" s="64"/>
      <c r="S730" s="21" t="s">
        <v>2052</v>
      </c>
      <c r="T730" s="28">
        <v>190</v>
      </c>
      <c r="U730" s="27">
        <v>44145</v>
      </c>
      <c r="V730" s="27">
        <v>44145</v>
      </c>
      <c r="W730" s="95">
        <v>190</v>
      </c>
    </row>
    <row r="731" spans="1:23" ht="45" customHeight="1">
      <c r="A731" s="31" t="s">
        <v>2205</v>
      </c>
      <c r="B731" s="64">
        <v>80204250585</v>
      </c>
      <c r="C731" s="21" t="s">
        <v>83</v>
      </c>
      <c r="D731" s="21" t="s">
        <v>2143</v>
      </c>
      <c r="E731" s="21" t="s">
        <v>48</v>
      </c>
      <c r="F731" s="21"/>
      <c r="G731" s="66"/>
      <c r="H731" s="64"/>
      <c r="I731" s="64"/>
      <c r="J731" s="23" t="s">
        <v>2144</v>
      </c>
      <c r="K731" s="64"/>
      <c r="L731" s="21" t="s">
        <v>2145</v>
      </c>
      <c r="M731" s="64"/>
      <c r="N731" s="66"/>
      <c r="O731" s="64"/>
      <c r="P731" s="64"/>
      <c r="Q731" s="23" t="s">
        <v>2144</v>
      </c>
      <c r="R731" s="64"/>
      <c r="S731" s="21" t="s">
        <v>2145</v>
      </c>
      <c r="T731" s="28">
        <v>2200</v>
      </c>
      <c r="U731" s="27">
        <v>43831</v>
      </c>
      <c r="V731" s="27">
        <v>44196</v>
      </c>
      <c r="W731" s="95">
        <v>2160</v>
      </c>
    </row>
    <row r="732" spans="1:23" ht="75" customHeight="1">
      <c r="A732" s="31">
        <v>0</v>
      </c>
      <c r="B732" s="64">
        <v>80204250585</v>
      </c>
      <c r="C732" s="21" t="s">
        <v>83</v>
      </c>
      <c r="D732" s="21" t="s">
        <v>2206</v>
      </c>
      <c r="E732" s="21" t="s">
        <v>48</v>
      </c>
      <c r="F732" s="21"/>
      <c r="G732" s="66"/>
      <c r="H732" s="64"/>
      <c r="I732" s="64"/>
      <c r="J732" s="23" t="s">
        <v>2085</v>
      </c>
      <c r="K732" s="64"/>
      <c r="L732" s="21" t="s">
        <v>2086</v>
      </c>
      <c r="M732" s="64"/>
      <c r="N732" s="66"/>
      <c r="O732" s="64"/>
      <c r="P732" s="64"/>
      <c r="Q732" s="24" t="s">
        <v>2085</v>
      </c>
      <c r="R732" s="64"/>
      <c r="S732" s="21" t="s">
        <v>2086</v>
      </c>
      <c r="T732" s="28">
        <v>1504.5</v>
      </c>
      <c r="U732" s="27">
        <v>44165</v>
      </c>
      <c r="V732" s="27">
        <v>44165</v>
      </c>
      <c r="W732" s="95">
        <v>1504.5</v>
      </c>
    </row>
    <row r="733" spans="1:23" ht="43.5" customHeight="1">
      <c r="A733" s="31">
        <v>0</v>
      </c>
      <c r="B733" s="64">
        <v>80204250585</v>
      </c>
      <c r="C733" s="21" t="s">
        <v>83</v>
      </c>
      <c r="D733" s="109" t="s">
        <v>2207</v>
      </c>
      <c r="E733" s="21" t="s">
        <v>48</v>
      </c>
      <c r="F733" s="21"/>
      <c r="G733" s="66"/>
      <c r="H733" s="64"/>
      <c r="I733" s="64"/>
      <c r="J733" s="23" t="s">
        <v>2135</v>
      </c>
      <c r="K733" s="64"/>
      <c r="L733" s="21" t="s">
        <v>2136</v>
      </c>
      <c r="M733" s="64"/>
      <c r="N733" s="66"/>
      <c r="O733" s="64"/>
      <c r="P733" s="64"/>
      <c r="Q733" s="23" t="s">
        <v>2135</v>
      </c>
      <c r="R733" s="64"/>
      <c r="S733" s="21" t="s">
        <v>2136</v>
      </c>
      <c r="T733" s="28">
        <v>9000</v>
      </c>
      <c r="U733" s="27">
        <v>44166</v>
      </c>
      <c r="V733" s="27">
        <v>44168</v>
      </c>
      <c r="W733" s="95">
        <v>9000</v>
      </c>
    </row>
    <row r="734" spans="1:23" ht="72" customHeight="1">
      <c r="A734" s="31">
        <v>0</v>
      </c>
      <c r="B734" s="64">
        <v>80204250585</v>
      </c>
      <c r="C734" s="21" t="s">
        <v>83</v>
      </c>
      <c r="D734" s="109" t="s">
        <v>2208</v>
      </c>
      <c r="E734" s="21" t="s">
        <v>48</v>
      </c>
      <c r="F734" s="21"/>
      <c r="G734" s="66"/>
      <c r="H734" s="64"/>
      <c r="I734" s="64"/>
      <c r="J734" s="23" t="s">
        <v>2209</v>
      </c>
      <c r="K734" s="64"/>
      <c r="L734" s="21" t="s">
        <v>2210</v>
      </c>
      <c r="M734" s="64"/>
      <c r="N734" s="66"/>
      <c r="O734" s="64"/>
      <c r="P734" s="64"/>
      <c r="Q734" s="23" t="s">
        <v>2209</v>
      </c>
      <c r="R734" s="64"/>
      <c r="S734" s="21" t="s">
        <v>2210</v>
      </c>
      <c r="T734" s="28">
        <v>70</v>
      </c>
      <c r="U734" s="27">
        <v>44168</v>
      </c>
      <c r="V734" s="27">
        <v>44168</v>
      </c>
      <c r="W734" s="95">
        <v>70</v>
      </c>
    </row>
    <row r="735" spans="1:23" ht="72" customHeight="1">
      <c r="A735" s="31">
        <v>0</v>
      </c>
      <c r="B735" s="64">
        <v>80204250585</v>
      </c>
      <c r="C735" s="21" t="s">
        <v>83</v>
      </c>
      <c r="D735" s="109" t="s">
        <v>2208</v>
      </c>
      <c r="E735" s="21" t="s">
        <v>48</v>
      </c>
      <c r="F735" s="21"/>
      <c r="G735" s="66"/>
      <c r="H735" s="64"/>
      <c r="I735" s="64"/>
      <c r="J735" s="23" t="s">
        <v>2209</v>
      </c>
      <c r="K735" s="64"/>
      <c r="L735" s="21" t="s">
        <v>2210</v>
      </c>
      <c r="M735" s="64"/>
      <c r="N735" s="66"/>
      <c r="O735" s="64"/>
      <c r="P735" s="64"/>
      <c r="Q735" s="23" t="s">
        <v>2209</v>
      </c>
      <c r="R735" s="64"/>
      <c r="S735" s="21" t="s">
        <v>2210</v>
      </c>
      <c r="T735" s="28">
        <v>70</v>
      </c>
      <c r="U735" s="27">
        <v>44168</v>
      </c>
      <c r="V735" s="27">
        <v>44168</v>
      </c>
      <c r="W735" s="95">
        <v>70</v>
      </c>
    </row>
    <row r="736" spans="1:23" ht="72" customHeight="1">
      <c r="A736" s="31">
        <v>0</v>
      </c>
      <c r="B736" s="64">
        <v>80204250585</v>
      </c>
      <c r="C736" s="21" t="s">
        <v>83</v>
      </c>
      <c r="D736" s="109" t="s">
        <v>2208</v>
      </c>
      <c r="E736" s="21" t="s">
        <v>48</v>
      </c>
      <c r="F736" s="21"/>
      <c r="G736" s="66"/>
      <c r="H736" s="64"/>
      <c r="I736" s="64"/>
      <c r="J736" s="23" t="s">
        <v>2209</v>
      </c>
      <c r="K736" s="64"/>
      <c r="L736" s="21" t="s">
        <v>2210</v>
      </c>
      <c r="M736" s="64"/>
      <c r="N736" s="66"/>
      <c r="O736" s="64"/>
      <c r="P736" s="64"/>
      <c r="Q736" s="23" t="s">
        <v>2209</v>
      </c>
      <c r="R736" s="64"/>
      <c r="S736" s="21" t="s">
        <v>2210</v>
      </c>
      <c r="T736" s="28">
        <v>70</v>
      </c>
      <c r="U736" s="27">
        <v>44168</v>
      </c>
      <c r="V736" s="27">
        <v>44168</v>
      </c>
      <c r="W736" s="95">
        <v>70</v>
      </c>
    </row>
    <row r="737" spans="1:23" ht="90" customHeight="1">
      <c r="A737" s="31">
        <v>0</v>
      </c>
      <c r="B737" s="64">
        <v>80204250585</v>
      </c>
      <c r="C737" s="21" t="s">
        <v>83</v>
      </c>
      <c r="D737" s="21" t="s">
        <v>2211</v>
      </c>
      <c r="E737" s="21" t="s">
        <v>48</v>
      </c>
      <c r="F737" s="21"/>
      <c r="G737" s="66"/>
      <c r="H737" s="64"/>
      <c r="I737" s="64"/>
      <c r="J737" s="111" t="s">
        <v>2158</v>
      </c>
      <c r="K737" s="64"/>
      <c r="L737" s="21" t="s">
        <v>2159</v>
      </c>
      <c r="M737" s="64"/>
      <c r="N737" s="66"/>
      <c r="O737" s="64"/>
      <c r="P737" s="64"/>
      <c r="Q737" s="111" t="s">
        <v>2158</v>
      </c>
      <c r="R737" s="64"/>
      <c r="S737" s="21" t="s">
        <v>2159</v>
      </c>
      <c r="T737" s="28">
        <v>467.5</v>
      </c>
      <c r="U737" s="112">
        <v>44175</v>
      </c>
      <c r="V737" s="112">
        <v>44175</v>
      </c>
      <c r="W737" s="95">
        <v>467.5</v>
      </c>
    </row>
    <row r="738" spans="1:23" ht="90" customHeight="1">
      <c r="A738" s="31">
        <v>0</v>
      </c>
      <c r="B738" s="64">
        <v>80204250585</v>
      </c>
      <c r="C738" s="21" t="s">
        <v>83</v>
      </c>
      <c r="D738" s="21" t="s">
        <v>2211</v>
      </c>
      <c r="E738" s="21" t="s">
        <v>48</v>
      </c>
      <c r="F738" s="21"/>
      <c r="G738" s="66"/>
      <c r="H738" s="64"/>
      <c r="I738" s="64"/>
      <c r="J738" s="111" t="s">
        <v>2158</v>
      </c>
      <c r="K738" s="64"/>
      <c r="L738" s="21" t="s">
        <v>2159</v>
      </c>
      <c r="M738" s="64"/>
      <c r="N738" s="66"/>
      <c r="O738" s="64"/>
      <c r="P738" s="64"/>
      <c r="Q738" s="111" t="s">
        <v>2158</v>
      </c>
      <c r="R738" s="64"/>
      <c r="S738" s="21" t="s">
        <v>2159</v>
      </c>
      <c r="T738" s="28">
        <v>467.5</v>
      </c>
      <c r="U738" s="112">
        <v>44175</v>
      </c>
      <c r="V738" s="112">
        <v>44175</v>
      </c>
      <c r="W738" s="95">
        <v>467.5</v>
      </c>
    </row>
    <row r="739" spans="1:23" ht="90" customHeight="1">
      <c r="A739" s="31">
        <v>0</v>
      </c>
      <c r="B739" s="64">
        <v>80204250585</v>
      </c>
      <c r="C739" s="21" t="s">
        <v>83</v>
      </c>
      <c r="D739" s="21" t="s">
        <v>2211</v>
      </c>
      <c r="E739" s="21" t="s">
        <v>48</v>
      </c>
      <c r="F739" s="21"/>
      <c r="G739" s="66"/>
      <c r="H739" s="64"/>
      <c r="I739" s="64"/>
      <c r="J739" s="111" t="s">
        <v>2158</v>
      </c>
      <c r="K739" s="64"/>
      <c r="L739" s="21" t="s">
        <v>2159</v>
      </c>
      <c r="M739" s="64"/>
      <c r="N739" s="66"/>
      <c r="O739" s="64"/>
      <c r="P739" s="64"/>
      <c r="Q739" s="111" t="s">
        <v>2158</v>
      </c>
      <c r="R739" s="64"/>
      <c r="S739" s="21" t="s">
        <v>2159</v>
      </c>
      <c r="T739" s="28">
        <v>467.5</v>
      </c>
      <c r="U739" s="112">
        <v>44175</v>
      </c>
      <c r="V739" s="112">
        <v>44175</v>
      </c>
      <c r="W739" s="95">
        <v>467.5</v>
      </c>
    </row>
    <row r="740" spans="1:23" ht="90" customHeight="1">
      <c r="A740" s="31">
        <v>0</v>
      </c>
      <c r="B740" s="64">
        <v>80204250585</v>
      </c>
      <c r="C740" s="21" t="s">
        <v>83</v>
      </c>
      <c r="D740" s="21" t="s">
        <v>2211</v>
      </c>
      <c r="E740" s="21" t="s">
        <v>48</v>
      </c>
      <c r="F740" s="21"/>
      <c r="G740" s="66"/>
      <c r="H740" s="64"/>
      <c r="I740" s="64"/>
      <c r="J740" s="111" t="s">
        <v>2158</v>
      </c>
      <c r="K740" s="64"/>
      <c r="L740" s="21" t="s">
        <v>2159</v>
      </c>
      <c r="M740" s="64"/>
      <c r="N740" s="66"/>
      <c r="O740" s="64"/>
      <c r="P740" s="64"/>
      <c r="Q740" s="111" t="s">
        <v>2158</v>
      </c>
      <c r="R740" s="64"/>
      <c r="S740" s="21" t="s">
        <v>2159</v>
      </c>
      <c r="T740" s="28">
        <v>467.5</v>
      </c>
      <c r="U740" s="112">
        <v>44175</v>
      </c>
      <c r="V740" s="112">
        <v>44175</v>
      </c>
      <c r="W740" s="95">
        <v>467.5</v>
      </c>
    </row>
    <row r="741" spans="1:23" ht="60" customHeight="1">
      <c r="A741" s="31">
        <v>0</v>
      </c>
      <c r="B741" s="64">
        <v>80204250585</v>
      </c>
      <c r="C741" s="21" t="s">
        <v>83</v>
      </c>
      <c r="D741" s="21" t="s">
        <v>2212</v>
      </c>
      <c r="E741" s="21" t="s">
        <v>48</v>
      </c>
      <c r="F741" s="21"/>
      <c r="G741" s="66"/>
      <c r="H741" s="64"/>
      <c r="I741" s="64"/>
      <c r="J741" s="23" t="s">
        <v>2085</v>
      </c>
      <c r="K741" s="64"/>
      <c r="L741" s="21" t="s">
        <v>2086</v>
      </c>
      <c r="M741" s="64"/>
      <c r="N741" s="66"/>
      <c r="O741" s="64"/>
      <c r="P741" s="64"/>
      <c r="Q741" s="24" t="s">
        <v>2085</v>
      </c>
      <c r="R741" s="64"/>
      <c r="S741" s="21" t="s">
        <v>2086</v>
      </c>
      <c r="T741" s="28">
        <v>621</v>
      </c>
      <c r="U741" s="27">
        <v>44183</v>
      </c>
      <c r="V741" s="27">
        <v>44183</v>
      </c>
      <c r="W741" s="95">
        <v>621</v>
      </c>
    </row>
    <row r="742" spans="1:23" ht="60" customHeight="1">
      <c r="A742" s="31">
        <v>0</v>
      </c>
      <c r="B742" s="64">
        <v>80204250585</v>
      </c>
      <c r="C742" s="21" t="s">
        <v>83</v>
      </c>
      <c r="D742" s="21" t="s">
        <v>2212</v>
      </c>
      <c r="E742" s="21" t="s">
        <v>48</v>
      </c>
      <c r="F742" s="21"/>
      <c r="G742" s="66"/>
      <c r="H742" s="64"/>
      <c r="I742" s="64"/>
      <c r="J742" s="23" t="s">
        <v>2085</v>
      </c>
      <c r="K742" s="64"/>
      <c r="L742" s="21" t="s">
        <v>2086</v>
      </c>
      <c r="M742" s="64"/>
      <c r="N742" s="66"/>
      <c r="O742" s="64"/>
      <c r="P742" s="64"/>
      <c r="Q742" s="24" t="s">
        <v>2085</v>
      </c>
      <c r="R742" s="64"/>
      <c r="S742" s="21" t="s">
        <v>2086</v>
      </c>
      <c r="T742" s="28">
        <v>621</v>
      </c>
      <c r="U742" s="27">
        <v>44183</v>
      </c>
      <c r="V742" s="27">
        <v>44183</v>
      </c>
      <c r="W742" s="95">
        <v>621</v>
      </c>
    </row>
    <row r="743" spans="1:23" ht="135" customHeight="1">
      <c r="A743" s="31">
        <v>0</v>
      </c>
      <c r="B743" s="64">
        <v>80204250585</v>
      </c>
      <c r="C743" s="21" t="s">
        <v>83</v>
      </c>
      <c r="D743" s="21" t="s">
        <v>2213</v>
      </c>
      <c r="E743" s="21" t="s">
        <v>48</v>
      </c>
      <c r="F743" s="21"/>
      <c r="G743" s="66"/>
      <c r="H743" s="64"/>
      <c r="I743" s="64"/>
      <c r="J743" s="23" t="s">
        <v>2185</v>
      </c>
      <c r="K743" s="64"/>
      <c r="L743" s="21" t="s">
        <v>2186</v>
      </c>
      <c r="M743" s="64"/>
      <c r="N743" s="66"/>
      <c r="O743" s="64"/>
      <c r="P743" s="64"/>
      <c r="Q743" s="23" t="s">
        <v>2185</v>
      </c>
      <c r="R743" s="64"/>
      <c r="S743" s="21" t="s">
        <v>2186</v>
      </c>
      <c r="T743" s="28">
        <v>1018</v>
      </c>
      <c r="U743" s="27">
        <v>44256</v>
      </c>
      <c r="V743" s="27">
        <v>44258</v>
      </c>
      <c r="W743" s="95">
        <v>1018</v>
      </c>
    </row>
    <row r="744" spans="1:23" ht="90" customHeight="1">
      <c r="A744" s="31">
        <v>0</v>
      </c>
      <c r="B744" s="64">
        <v>80204250585</v>
      </c>
      <c r="C744" s="21" t="s">
        <v>83</v>
      </c>
      <c r="D744" s="21" t="s">
        <v>2214</v>
      </c>
      <c r="E744" s="21" t="s">
        <v>48</v>
      </c>
      <c r="F744" s="21"/>
      <c r="G744" s="66"/>
      <c r="H744" s="64"/>
      <c r="I744" s="64"/>
      <c r="J744" s="111" t="s">
        <v>2158</v>
      </c>
      <c r="K744" s="64"/>
      <c r="L744" s="21" t="s">
        <v>2159</v>
      </c>
      <c r="M744" s="64"/>
      <c r="N744" s="66"/>
      <c r="O744" s="64"/>
      <c r="P744" s="64"/>
      <c r="Q744" s="111" t="s">
        <v>2158</v>
      </c>
      <c r="R744" s="64"/>
      <c r="S744" s="21" t="s">
        <v>2159</v>
      </c>
      <c r="T744" s="28">
        <v>450</v>
      </c>
      <c r="U744" s="112">
        <v>44218</v>
      </c>
      <c r="V744" s="112">
        <v>44218</v>
      </c>
      <c r="W744" s="95">
        <v>450</v>
      </c>
    </row>
    <row r="745" spans="1:23" ht="90" customHeight="1">
      <c r="A745" s="31">
        <v>0</v>
      </c>
      <c r="B745" s="64">
        <v>80204250585</v>
      </c>
      <c r="C745" s="21" t="s">
        <v>83</v>
      </c>
      <c r="D745" s="21" t="s">
        <v>2214</v>
      </c>
      <c r="E745" s="21" t="s">
        <v>48</v>
      </c>
      <c r="F745" s="21"/>
      <c r="G745" s="66"/>
      <c r="H745" s="64"/>
      <c r="I745" s="64"/>
      <c r="J745" s="111" t="s">
        <v>2158</v>
      </c>
      <c r="K745" s="64"/>
      <c r="L745" s="21" t="s">
        <v>2159</v>
      </c>
      <c r="M745" s="64"/>
      <c r="N745" s="66"/>
      <c r="O745" s="64"/>
      <c r="P745" s="64"/>
      <c r="Q745" s="111" t="s">
        <v>2158</v>
      </c>
      <c r="R745" s="64"/>
      <c r="S745" s="21" t="s">
        <v>2159</v>
      </c>
      <c r="T745" s="28">
        <v>450</v>
      </c>
      <c r="U745" s="112">
        <v>44218</v>
      </c>
      <c r="V745" s="112">
        <v>44218</v>
      </c>
      <c r="W745" s="95">
        <v>450</v>
      </c>
    </row>
    <row r="746" spans="1:23" ht="90" customHeight="1">
      <c r="A746" s="31">
        <v>0</v>
      </c>
      <c r="B746" s="64">
        <v>80204250585</v>
      </c>
      <c r="C746" s="21" t="s">
        <v>83</v>
      </c>
      <c r="D746" s="21" t="s">
        <v>2214</v>
      </c>
      <c r="E746" s="21" t="s">
        <v>48</v>
      </c>
      <c r="F746" s="21"/>
      <c r="G746" s="66"/>
      <c r="H746" s="64"/>
      <c r="I746" s="64"/>
      <c r="J746" s="111" t="s">
        <v>2158</v>
      </c>
      <c r="K746" s="64"/>
      <c r="L746" s="21" t="s">
        <v>2159</v>
      </c>
      <c r="M746" s="64"/>
      <c r="N746" s="66"/>
      <c r="O746" s="64"/>
      <c r="P746" s="64"/>
      <c r="Q746" s="111" t="s">
        <v>2158</v>
      </c>
      <c r="R746" s="64"/>
      <c r="S746" s="21" t="s">
        <v>2159</v>
      </c>
      <c r="T746" s="28">
        <v>450</v>
      </c>
      <c r="U746" s="112">
        <v>44218</v>
      </c>
      <c r="V746" s="112">
        <v>44218</v>
      </c>
      <c r="W746" s="95">
        <v>450</v>
      </c>
    </row>
    <row r="747" spans="1:23" ht="105" customHeight="1">
      <c r="A747" s="31">
        <v>0</v>
      </c>
      <c r="B747" s="64">
        <v>80204250585</v>
      </c>
      <c r="C747" s="21" t="s">
        <v>83</v>
      </c>
      <c r="D747" s="21" t="s">
        <v>2215</v>
      </c>
      <c r="E747" s="21" t="s">
        <v>48</v>
      </c>
      <c r="F747" s="21"/>
      <c r="G747" s="66"/>
      <c r="H747" s="64"/>
      <c r="I747" s="64"/>
      <c r="J747" s="23" t="s">
        <v>2085</v>
      </c>
      <c r="K747" s="64"/>
      <c r="L747" s="21" t="s">
        <v>2086</v>
      </c>
      <c r="M747" s="64"/>
      <c r="N747" s="66"/>
      <c r="O747" s="64"/>
      <c r="P747" s="64"/>
      <c r="Q747" s="24" t="s">
        <v>2085</v>
      </c>
      <c r="R747" s="64"/>
      <c r="S747" s="21" t="s">
        <v>2086</v>
      </c>
      <c r="T747" s="28">
        <v>1400</v>
      </c>
      <c r="U747" s="27">
        <v>44230</v>
      </c>
      <c r="V747" s="27">
        <v>44231</v>
      </c>
      <c r="W747" s="95">
        <v>1400</v>
      </c>
    </row>
    <row r="748" spans="1:23" ht="60" customHeight="1">
      <c r="A748" s="31">
        <v>0</v>
      </c>
      <c r="B748" s="64">
        <v>80204250585</v>
      </c>
      <c r="C748" s="21" t="s">
        <v>83</v>
      </c>
      <c r="D748" s="21" t="s">
        <v>2216</v>
      </c>
      <c r="E748" s="21" t="s">
        <v>48</v>
      </c>
      <c r="F748" s="21"/>
      <c r="G748" s="66"/>
      <c r="H748" s="64"/>
      <c r="I748" s="64"/>
      <c r="J748" s="23" t="s">
        <v>2217</v>
      </c>
      <c r="K748" s="64"/>
      <c r="L748" s="21" t="s">
        <v>2218</v>
      </c>
      <c r="M748" s="64"/>
      <c r="N748" s="66"/>
      <c r="O748" s="64"/>
      <c r="P748" s="64"/>
      <c r="Q748" s="23" t="s">
        <v>2217</v>
      </c>
      <c r="R748" s="64"/>
      <c r="S748" s="21" t="s">
        <v>2218</v>
      </c>
      <c r="T748" s="28">
        <v>300</v>
      </c>
      <c r="U748" s="27">
        <v>44236</v>
      </c>
      <c r="V748" s="27">
        <v>44236</v>
      </c>
      <c r="W748" s="95">
        <v>300</v>
      </c>
    </row>
    <row r="749" spans="1:23" ht="120" customHeight="1">
      <c r="A749" s="31">
        <v>0</v>
      </c>
      <c r="B749" s="64">
        <v>80204250585</v>
      </c>
      <c r="C749" s="21" t="s">
        <v>83</v>
      </c>
      <c r="D749" s="21" t="s">
        <v>2219</v>
      </c>
      <c r="E749" s="21" t="s">
        <v>48</v>
      </c>
      <c r="F749" s="21"/>
      <c r="G749" s="66"/>
      <c r="H749" s="64"/>
      <c r="I749" s="64"/>
      <c r="J749" s="23" t="s">
        <v>2220</v>
      </c>
      <c r="K749" s="64"/>
      <c r="L749" s="21" t="s">
        <v>2221</v>
      </c>
      <c r="M749" s="64"/>
      <c r="N749" s="66"/>
      <c r="O749" s="64"/>
      <c r="P749" s="64"/>
      <c r="Q749" s="23" t="s">
        <v>2220</v>
      </c>
      <c r="R749" s="64"/>
      <c r="S749" s="21" t="s">
        <v>2221</v>
      </c>
      <c r="T749" s="28">
        <v>230</v>
      </c>
      <c r="U749" s="27">
        <v>44239</v>
      </c>
      <c r="V749" s="27">
        <v>44253</v>
      </c>
      <c r="W749" s="95">
        <v>230</v>
      </c>
    </row>
    <row r="750" spans="1:23" s="25" customFormat="1" ht="60" customHeight="1">
      <c r="A750" s="31" t="s">
        <v>2222</v>
      </c>
      <c r="B750" s="64">
        <v>80204250585</v>
      </c>
      <c r="C750" s="21" t="s">
        <v>83</v>
      </c>
      <c r="D750" s="21" t="s">
        <v>2223</v>
      </c>
      <c r="E750" s="21" t="s">
        <v>48</v>
      </c>
      <c r="F750" s="21"/>
      <c r="G750" s="66"/>
      <c r="H750" s="64"/>
      <c r="I750" s="64"/>
      <c r="J750" s="23" t="s">
        <v>2091</v>
      </c>
      <c r="K750" s="64"/>
      <c r="L750" s="21" t="s">
        <v>2092</v>
      </c>
      <c r="M750" s="64"/>
      <c r="N750" s="66"/>
      <c r="O750" s="64"/>
      <c r="P750" s="64"/>
      <c r="Q750" s="23" t="s">
        <v>2091</v>
      </c>
      <c r="R750" s="64"/>
      <c r="S750" s="21" t="s">
        <v>2092</v>
      </c>
      <c r="T750" s="28">
        <v>9400</v>
      </c>
      <c r="U750" s="27">
        <v>44197</v>
      </c>
      <c r="V750" s="27">
        <v>44561</v>
      </c>
      <c r="W750" s="95">
        <v>4800</v>
      </c>
    </row>
    <row r="751" spans="1:23" ht="90" customHeight="1">
      <c r="A751" s="31">
        <v>0</v>
      </c>
      <c r="B751" s="64">
        <v>80204250585</v>
      </c>
      <c r="C751" s="21" t="s">
        <v>83</v>
      </c>
      <c r="D751" s="21" t="s">
        <v>2224</v>
      </c>
      <c r="E751" s="21" t="s">
        <v>48</v>
      </c>
      <c r="F751" s="21"/>
      <c r="G751" s="66"/>
      <c r="H751" s="64"/>
      <c r="I751" s="64"/>
      <c r="J751" s="23" t="s">
        <v>2225</v>
      </c>
      <c r="K751" s="64"/>
      <c r="L751" s="21" t="s">
        <v>2226</v>
      </c>
      <c r="M751" s="64"/>
      <c r="N751" s="66"/>
      <c r="O751" s="64"/>
      <c r="P751" s="64"/>
      <c r="Q751" s="23" t="s">
        <v>2225</v>
      </c>
      <c r="R751" s="64"/>
      <c r="S751" s="21" t="s">
        <v>2226</v>
      </c>
      <c r="T751" s="28">
        <v>1600</v>
      </c>
      <c r="U751" s="27">
        <v>44274</v>
      </c>
      <c r="V751" s="27">
        <v>44303</v>
      </c>
      <c r="W751" s="95">
        <v>1600</v>
      </c>
    </row>
    <row r="752" spans="1:23" ht="75" customHeight="1">
      <c r="A752" s="31">
        <v>0</v>
      </c>
      <c r="B752" s="64">
        <v>80204250585</v>
      </c>
      <c r="C752" s="21" t="s">
        <v>83</v>
      </c>
      <c r="D752" s="21" t="s">
        <v>2227</v>
      </c>
      <c r="E752" s="21" t="s">
        <v>48</v>
      </c>
      <c r="F752" s="21"/>
      <c r="G752" s="66"/>
      <c r="H752" s="64"/>
      <c r="I752" s="64"/>
      <c r="J752" s="23" t="s">
        <v>2202</v>
      </c>
      <c r="K752" s="64"/>
      <c r="L752" s="21" t="s">
        <v>2203</v>
      </c>
      <c r="M752" s="64"/>
      <c r="N752" s="66"/>
      <c r="O752" s="64"/>
      <c r="P752" s="64"/>
      <c r="Q752" s="23" t="s">
        <v>2202</v>
      </c>
      <c r="R752" s="64"/>
      <c r="S752" s="21" t="s">
        <v>2203</v>
      </c>
      <c r="T752" s="28">
        <v>1000</v>
      </c>
      <c r="U752" s="27">
        <v>44272</v>
      </c>
      <c r="V752" s="27">
        <v>44272</v>
      </c>
      <c r="W752" s="95">
        <v>1000</v>
      </c>
    </row>
    <row r="753" spans="1:23" ht="75" customHeight="1">
      <c r="A753" s="31">
        <v>0</v>
      </c>
      <c r="B753" s="64">
        <v>80204250585</v>
      </c>
      <c r="C753" s="21" t="s">
        <v>83</v>
      </c>
      <c r="D753" s="21" t="s">
        <v>2227</v>
      </c>
      <c r="E753" s="21" t="s">
        <v>48</v>
      </c>
      <c r="F753" s="21"/>
      <c r="G753" s="66"/>
      <c r="H753" s="64"/>
      <c r="I753" s="64"/>
      <c r="J753" s="23" t="s">
        <v>2202</v>
      </c>
      <c r="K753" s="64"/>
      <c r="L753" s="21" t="s">
        <v>2203</v>
      </c>
      <c r="M753" s="64"/>
      <c r="N753" s="66"/>
      <c r="O753" s="64"/>
      <c r="P753" s="64"/>
      <c r="Q753" s="23" t="s">
        <v>2202</v>
      </c>
      <c r="R753" s="64"/>
      <c r="S753" s="21" t="s">
        <v>2203</v>
      </c>
      <c r="T753" s="28">
        <v>600</v>
      </c>
      <c r="U753" s="27">
        <v>44272</v>
      </c>
      <c r="V753" s="27">
        <v>44272</v>
      </c>
      <c r="W753" s="95">
        <v>600</v>
      </c>
    </row>
    <row r="754" spans="1:23" ht="75" customHeight="1">
      <c r="A754" s="31">
        <v>0</v>
      </c>
      <c r="B754" s="64">
        <v>80204250585</v>
      </c>
      <c r="C754" s="21" t="s">
        <v>83</v>
      </c>
      <c r="D754" s="21" t="s">
        <v>2227</v>
      </c>
      <c r="E754" s="21" t="s">
        <v>48</v>
      </c>
      <c r="F754" s="21"/>
      <c r="G754" s="66"/>
      <c r="H754" s="64"/>
      <c r="I754" s="64"/>
      <c r="J754" s="23" t="s">
        <v>2202</v>
      </c>
      <c r="K754" s="64"/>
      <c r="L754" s="21" t="s">
        <v>2203</v>
      </c>
      <c r="M754" s="64"/>
      <c r="N754" s="66"/>
      <c r="O754" s="64"/>
      <c r="P754" s="64"/>
      <c r="Q754" s="23" t="s">
        <v>2202</v>
      </c>
      <c r="R754" s="64"/>
      <c r="S754" s="21" t="s">
        <v>2203</v>
      </c>
      <c r="T754" s="28">
        <v>1000</v>
      </c>
      <c r="U754" s="27">
        <v>44272</v>
      </c>
      <c r="V754" s="27">
        <v>44272</v>
      </c>
      <c r="W754" s="95">
        <v>1000</v>
      </c>
    </row>
    <row r="755" spans="1:23" ht="75" customHeight="1">
      <c r="A755" s="31">
        <v>0</v>
      </c>
      <c r="B755" s="64">
        <v>80204250585</v>
      </c>
      <c r="C755" s="21" t="s">
        <v>83</v>
      </c>
      <c r="D755" s="21" t="s">
        <v>2227</v>
      </c>
      <c r="E755" s="21" t="s">
        <v>48</v>
      </c>
      <c r="F755" s="21"/>
      <c r="G755" s="66"/>
      <c r="H755" s="64"/>
      <c r="I755" s="64"/>
      <c r="J755" s="23" t="s">
        <v>2202</v>
      </c>
      <c r="K755" s="64"/>
      <c r="L755" s="21" t="s">
        <v>2203</v>
      </c>
      <c r="M755" s="64"/>
      <c r="N755" s="66"/>
      <c r="O755" s="64"/>
      <c r="P755" s="64"/>
      <c r="Q755" s="23" t="s">
        <v>2202</v>
      </c>
      <c r="R755" s="64"/>
      <c r="S755" s="21" t="s">
        <v>2203</v>
      </c>
      <c r="T755" s="28">
        <v>1000</v>
      </c>
      <c r="U755" s="27">
        <v>44272</v>
      </c>
      <c r="V755" s="27">
        <v>44272</v>
      </c>
      <c r="W755" s="95">
        <v>1000</v>
      </c>
    </row>
    <row r="756" spans="1:23" ht="75" customHeight="1">
      <c r="A756" s="31">
        <v>0</v>
      </c>
      <c r="B756" s="64">
        <v>80204250585</v>
      </c>
      <c r="C756" s="21" t="s">
        <v>83</v>
      </c>
      <c r="D756" s="21" t="s">
        <v>2227</v>
      </c>
      <c r="E756" s="21" t="s">
        <v>48</v>
      </c>
      <c r="F756" s="21"/>
      <c r="G756" s="66"/>
      <c r="H756" s="64"/>
      <c r="I756" s="64"/>
      <c r="J756" s="23" t="s">
        <v>2202</v>
      </c>
      <c r="K756" s="64"/>
      <c r="L756" s="21" t="s">
        <v>2203</v>
      </c>
      <c r="M756" s="64"/>
      <c r="N756" s="66"/>
      <c r="O756" s="64"/>
      <c r="P756" s="64"/>
      <c r="Q756" s="23" t="s">
        <v>2202</v>
      </c>
      <c r="R756" s="64"/>
      <c r="S756" s="21" t="s">
        <v>2203</v>
      </c>
      <c r="T756" s="28">
        <v>1000</v>
      </c>
      <c r="U756" s="27">
        <v>44272</v>
      </c>
      <c r="V756" s="27">
        <v>44272</v>
      </c>
      <c r="W756" s="95">
        <v>1000</v>
      </c>
    </row>
    <row r="757" spans="1:23" s="25" customFormat="1" ht="90" customHeight="1">
      <c r="A757" s="31">
        <v>0</v>
      </c>
      <c r="B757" s="64">
        <v>80204250585</v>
      </c>
      <c r="C757" s="21" t="s">
        <v>83</v>
      </c>
      <c r="D757" s="21" t="s">
        <v>2228</v>
      </c>
      <c r="E757" s="21" t="s">
        <v>48</v>
      </c>
      <c r="F757" s="21"/>
      <c r="G757" s="66"/>
      <c r="H757" s="64"/>
      <c r="I757" s="64"/>
      <c r="J757" s="23" t="s">
        <v>2225</v>
      </c>
      <c r="K757" s="64"/>
      <c r="L757" s="21" t="s">
        <v>2226</v>
      </c>
      <c r="M757" s="64"/>
      <c r="N757" s="66"/>
      <c r="O757" s="64"/>
      <c r="P757" s="64"/>
      <c r="Q757" s="23" t="s">
        <v>2225</v>
      </c>
      <c r="R757" s="64"/>
      <c r="S757" s="21" t="s">
        <v>2226</v>
      </c>
      <c r="T757" s="28">
        <v>5400</v>
      </c>
      <c r="U757" s="27">
        <v>44295</v>
      </c>
      <c r="V757" s="27">
        <v>44366</v>
      </c>
      <c r="W757" s="95">
        <v>3632</v>
      </c>
    </row>
    <row r="758" spans="1:23" s="25" customFormat="1" ht="90" customHeight="1">
      <c r="A758" s="31">
        <v>0</v>
      </c>
      <c r="B758" s="64">
        <v>80204250585</v>
      </c>
      <c r="C758" s="21" t="s">
        <v>83</v>
      </c>
      <c r="D758" s="21" t="s">
        <v>2228</v>
      </c>
      <c r="E758" s="21" t="s">
        <v>48</v>
      </c>
      <c r="F758" s="21"/>
      <c r="G758" s="66"/>
      <c r="H758" s="64"/>
      <c r="I758" s="64"/>
      <c r="J758" s="23" t="s">
        <v>2225</v>
      </c>
      <c r="K758" s="64"/>
      <c r="L758" s="21" t="s">
        <v>2226</v>
      </c>
      <c r="M758" s="64"/>
      <c r="N758" s="66"/>
      <c r="O758" s="64"/>
      <c r="P758" s="64"/>
      <c r="Q758" s="23" t="s">
        <v>2225</v>
      </c>
      <c r="R758" s="64"/>
      <c r="S758" s="21" t="s">
        <v>2226</v>
      </c>
      <c r="T758" s="28">
        <v>5400</v>
      </c>
      <c r="U758" s="27">
        <v>44295</v>
      </c>
      <c r="V758" s="27">
        <v>44366</v>
      </c>
      <c r="W758" s="95">
        <v>3632</v>
      </c>
    </row>
    <row r="759" spans="1:23" ht="90" customHeight="1">
      <c r="A759" s="31">
        <v>0</v>
      </c>
      <c r="B759" s="64">
        <v>80204250585</v>
      </c>
      <c r="C759" s="21" t="s">
        <v>83</v>
      </c>
      <c r="D759" s="21" t="s">
        <v>2229</v>
      </c>
      <c r="E759" s="21" t="s">
        <v>48</v>
      </c>
      <c r="F759" s="21"/>
      <c r="G759" s="66"/>
      <c r="H759" s="64"/>
      <c r="I759" s="64"/>
      <c r="J759" s="23" t="s">
        <v>2230</v>
      </c>
      <c r="K759" s="64"/>
      <c r="L759" s="21" t="s">
        <v>2231</v>
      </c>
      <c r="M759" s="64"/>
      <c r="N759" s="64"/>
      <c r="O759" s="64"/>
      <c r="P759" s="64"/>
      <c r="Q759" s="23" t="s">
        <v>2230</v>
      </c>
      <c r="R759" s="64"/>
      <c r="S759" s="21" t="s">
        <v>2231</v>
      </c>
      <c r="T759" s="28">
        <v>48</v>
      </c>
      <c r="U759" s="27">
        <v>44274</v>
      </c>
      <c r="V759" s="27">
        <v>44303</v>
      </c>
      <c r="W759" s="95">
        <v>48</v>
      </c>
    </row>
    <row r="760" spans="1:23" ht="90" customHeight="1">
      <c r="A760" s="31">
        <v>0</v>
      </c>
      <c r="B760" s="64">
        <v>80204250585</v>
      </c>
      <c r="C760" s="21" t="s">
        <v>83</v>
      </c>
      <c r="D760" s="21" t="s">
        <v>2232</v>
      </c>
      <c r="E760" s="21" t="s">
        <v>48</v>
      </c>
      <c r="F760" s="21"/>
      <c r="G760" s="66"/>
      <c r="H760" s="64"/>
      <c r="I760" s="64"/>
      <c r="J760" s="23" t="s">
        <v>2225</v>
      </c>
      <c r="K760" s="64"/>
      <c r="L760" s="21" t="s">
        <v>2226</v>
      </c>
      <c r="M760" s="64"/>
      <c r="N760" s="66"/>
      <c r="O760" s="64"/>
      <c r="P760" s="64"/>
      <c r="Q760" s="23" t="s">
        <v>2225</v>
      </c>
      <c r="R760" s="64"/>
      <c r="S760" s="21" t="s">
        <v>2226</v>
      </c>
      <c r="T760" s="28">
        <v>6000</v>
      </c>
      <c r="U760" s="27">
        <v>44280</v>
      </c>
      <c r="V760" s="27">
        <v>44638</v>
      </c>
      <c r="W760" s="95">
        <v>6000</v>
      </c>
    </row>
    <row r="761" spans="1:23" ht="45" customHeight="1">
      <c r="A761" s="121" t="s">
        <v>2233</v>
      </c>
      <c r="B761" s="64">
        <v>80204250585</v>
      </c>
      <c r="C761" s="21" t="s">
        <v>83</v>
      </c>
      <c r="D761" s="21" t="s">
        <v>2234</v>
      </c>
      <c r="E761" s="21" t="s">
        <v>48</v>
      </c>
      <c r="F761" s="21"/>
      <c r="G761" s="66"/>
      <c r="H761" s="64"/>
      <c r="I761" s="64"/>
      <c r="J761" s="23" t="s">
        <v>2235</v>
      </c>
      <c r="K761" s="64"/>
      <c r="L761" s="21" t="s">
        <v>2236</v>
      </c>
      <c r="M761" s="64"/>
      <c r="N761" s="64"/>
      <c r="O761" s="64"/>
      <c r="P761" s="64"/>
      <c r="Q761" s="23" t="s">
        <v>2235</v>
      </c>
      <c r="R761" s="64"/>
      <c r="S761" s="21" t="s">
        <v>2236</v>
      </c>
      <c r="T761" s="28">
        <v>11232</v>
      </c>
      <c r="U761" s="27">
        <v>44197</v>
      </c>
      <c r="V761" s="27">
        <v>44561</v>
      </c>
      <c r="W761" s="95">
        <v>0</v>
      </c>
    </row>
    <row r="762" spans="1:23" ht="45" customHeight="1">
      <c r="A762" s="121" t="s">
        <v>2237</v>
      </c>
      <c r="B762" s="64">
        <v>80204250585</v>
      </c>
      <c r="C762" s="21" t="s">
        <v>83</v>
      </c>
      <c r="D762" s="21" t="s">
        <v>2234</v>
      </c>
      <c r="E762" s="21" t="s">
        <v>48</v>
      </c>
      <c r="F762" s="21"/>
      <c r="G762" s="66"/>
      <c r="H762" s="64"/>
      <c r="I762" s="64"/>
      <c r="J762" s="23" t="s">
        <v>2238</v>
      </c>
      <c r="K762" s="64"/>
      <c r="L762" s="21" t="s">
        <v>2239</v>
      </c>
      <c r="M762" s="64"/>
      <c r="N762" s="64"/>
      <c r="O762" s="64"/>
      <c r="P762" s="64"/>
      <c r="Q762" s="23" t="s">
        <v>2238</v>
      </c>
      <c r="R762" s="64"/>
      <c r="S762" s="21" t="s">
        <v>2239</v>
      </c>
      <c r="T762" s="28">
        <v>1800</v>
      </c>
      <c r="U762" s="27">
        <v>44197</v>
      </c>
      <c r="V762" s="27">
        <v>44561</v>
      </c>
      <c r="W762" s="95">
        <v>0</v>
      </c>
    </row>
    <row r="763" spans="1:23" ht="45" customHeight="1">
      <c r="A763" s="121" t="s">
        <v>2240</v>
      </c>
      <c r="B763" s="64">
        <v>80204250585</v>
      </c>
      <c r="C763" s="21" t="s">
        <v>83</v>
      </c>
      <c r="D763" s="21" t="s">
        <v>2234</v>
      </c>
      <c r="E763" s="21" t="s">
        <v>48</v>
      </c>
      <c r="F763" s="21"/>
      <c r="G763" s="66"/>
      <c r="H763" s="64"/>
      <c r="I763" s="64"/>
      <c r="J763" s="23" t="s">
        <v>2241</v>
      </c>
      <c r="K763" s="64"/>
      <c r="L763" s="21" t="s">
        <v>2242</v>
      </c>
      <c r="M763" s="64"/>
      <c r="N763" s="64"/>
      <c r="O763" s="64"/>
      <c r="P763" s="64"/>
      <c r="Q763" s="23" t="s">
        <v>2241</v>
      </c>
      <c r="R763" s="64"/>
      <c r="S763" s="21" t="s">
        <v>2242</v>
      </c>
      <c r="T763" s="28">
        <v>1800</v>
      </c>
      <c r="U763" s="27">
        <v>44197</v>
      </c>
      <c r="V763" s="27">
        <v>44561</v>
      </c>
      <c r="W763" s="95">
        <v>0</v>
      </c>
    </row>
    <row r="764" spans="1:23" ht="45" customHeight="1">
      <c r="A764" s="121" t="s">
        <v>2243</v>
      </c>
      <c r="B764" s="64">
        <v>80204250585</v>
      </c>
      <c r="C764" s="21" t="s">
        <v>83</v>
      </c>
      <c r="D764" s="21" t="s">
        <v>2234</v>
      </c>
      <c r="E764" s="21" t="s">
        <v>48</v>
      </c>
      <c r="F764" s="21"/>
      <c r="G764" s="66"/>
      <c r="H764" s="64"/>
      <c r="I764" s="64"/>
      <c r="J764" s="23" t="s">
        <v>2244</v>
      </c>
      <c r="K764" s="64"/>
      <c r="L764" s="21" t="s">
        <v>2245</v>
      </c>
      <c r="M764" s="64"/>
      <c r="N764" s="64"/>
      <c r="O764" s="64"/>
      <c r="P764" s="64"/>
      <c r="Q764" s="23" t="s">
        <v>2244</v>
      </c>
      <c r="R764" s="64"/>
      <c r="S764" s="21" t="s">
        <v>2245</v>
      </c>
      <c r="T764" s="28">
        <v>1800</v>
      </c>
      <c r="U764" s="27">
        <v>44197</v>
      </c>
      <c r="V764" s="27">
        <v>44561</v>
      </c>
      <c r="W764" s="95">
        <v>0</v>
      </c>
    </row>
    <row r="765" spans="1:23" s="25" customFormat="1" ht="75" customHeight="1">
      <c r="A765" s="31" t="s">
        <v>2311</v>
      </c>
      <c r="B765" s="64">
        <v>80204250585</v>
      </c>
      <c r="C765" s="21" t="s">
        <v>83</v>
      </c>
      <c r="D765" s="21" t="s">
        <v>2246</v>
      </c>
      <c r="E765" s="21" t="s">
        <v>48</v>
      </c>
      <c r="F765" s="21"/>
      <c r="G765" s="66"/>
      <c r="H765" s="64"/>
      <c r="I765" s="64"/>
      <c r="J765" s="23" t="s">
        <v>2091</v>
      </c>
      <c r="K765" s="64"/>
      <c r="L765" s="21" t="s">
        <v>2092</v>
      </c>
      <c r="M765" s="64"/>
      <c r="N765" s="66"/>
      <c r="O765" s="64"/>
      <c r="P765" s="64"/>
      <c r="Q765" s="23" t="s">
        <v>2091</v>
      </c>
      <c r="R765" s="64"/>
      <c r="S765" s="21" t="s">
        <v>2092</v>
      </c>
      <c r="T765" s="28">
        <v>13600</v>
      </c>
      <c r="U765" s="27">
        <v>44197</v>
      </c>
      <c r="V765" s="27">
        <v>44561</v>
      </c>
      <c r="W765" s="95">
        <v>13600</v>
      </c>
    </row>
    <row r="766" spans="1:23" ht="150" customHeight="1">
      <c r="A766" s="31">
        <v>0</v>
      </c>
      <c r="B766" s="64">
        <v>80204250585</v>
      </c>
      <c r="C766" s="21" t="s">
        <v>83</v>
      </c>
      <c r="D766" s="21" t="s">
        <v>2247</v>
      </c>
      <c r="E766" s="21" t="s">
        <v>48</v>
      </c>
      <c r="F766" s="21"/>
      <c r="G766" s="66"/>
      <c r="H766" s="64"/>
      <c r="I766" s="64"/>
      <c r="J766" s="23" t="s">
        <v>2085</v>
      </c>
      <c r="K766" s="64"/>
      <c r="L766" s="21" t="s">
        <v>2086</v>
      </c>
      <c r="M766" s="64"/>
      <c r="N766" s="66"/>
      <c r="O766" s="64"/>
      <c r="P766" s="64"/>
      <c r="Q766" s="24" t="s">
        <v>2085</v>
      </c>
      <c r="R766" s="64"/>
      <c r="S766" s="21" t="s">
        <v>2086</v>
      </c>
      <c r="T766" s="28">
        <v>560</v>
      </c>
      <c r="U766" s="27">
        <v>44295</v>
      </c>
      <c r="V766" s="27">
        <v>44295</v>
      </c>
      <c r="W766" s="95">
        <v>560</v>
      </c>
    </row>
    <row r="767" spans="1:23" ht="150" customHeight="1">
      <c r="A767" s="31">
        <v>0</v>
      </c>
      <c r="B767" s="64">
        <v>80204250585</v>
      </c>
      <c r="C767" s="21" t="s">
        <v>83</v>
      </c>
      <c r="D767" s="21" t="s">
        <v>2247</v>
      </c>
      <c r="E767" s="21" t="s">
        <v>48</v>
      </c>
      <c r="F767" s="21"/>
      <c r="G767" s="66"/>
      <c r="H767" s="64"/>
      <c r="I767" s="64"/>
      <c r="J767" s="23" t="s">
        <v>2085</v>
      </c>
      <c r="K767" s="64"/>
      <c r="L767" s="21" t="s">
        <v>2086</v>
      </c>
      <c r="M767" s="64"/>
      <c r="N767" s="66"/>
      <c r="O767" s="64"/>
      <c r="P767" s="64"/>
      <c r="Q767" s="24" t="s">
        <v>2085</v>
      </c>
      <c r="R767" s="64"/>
      <c r="S767" s="21" t="s">
        <v>2086</v>
      </c>
      <c r="T767" s="28">
        <v>560</v>
      </c>
      <c r="U767" s="27">
        <v>44295</v>
      </c>
      <c r="V767" s="27">
        <v>44295</v>
      </c>
      <c r="W767" s="95">
        <v>560</v>
      </c>
    </row>
    <row r="768" spans="1:23" ht="150" customHeight="1">
      <c r="A768" s="31">
        <v>0</v>
      </c>
      <c r="B768" s="64">
        <v>80204250585</v>
      </c>
      <c r="C768" s="21" t="s">
        <v>83</v>
      </c>
      <c r="D768" s="21" t="s">
        <v>2247</v>
      </c>
      <c r="E768" s="21" t="s">
        <v>48</v>
      </c>
      <c r="F768" s="21"/>
      <c r="G768" s="66"/>
      <c r="H768" s="64"/>
      <c r="I768" s="64"/>
      <c r="J768" s="23" t="s">
        <v>2085</v>
      </c>
      <c r="K768" s="64"/>
      <c r="L768" s="21" t="s">
        <v>2086</v>
      </c>
      <c r="M768" s="64"/>
      <c r="N768" s="66"/>
      <c r="O768" s="64"/>
      <c r="P768" s="64"/>
      <c r="Q768" s="24" t="s">
        <v>2085</v>
      </c>
      <c r="R768" s="64"/>
      <c r="S768" s="21" t="s">
        <v>2086</v>
      </c>
      <c r="T768" s="28">
        <v>560</v>
      </c>
      <c r="U768" s="27">
        <v>44295</v>
      </c>
      <c r="V768" s="27">
        <v>44295</v>
      </c>
      <c r="W768" s="95">
        <v>560</v>
      </c>
    </row>
    <row r="769" spans="1:23" ht="150" customHeight="1">
      <c r="A769" s="31">
        <v>0</v>
      </c>
      <c r="B769" s="64">
        <v>80204250585</v>
      </c>
      <c r="C769" s="21" t="s">
        <v>83</v>
      </c>
      <c r="D769" s="21" t="s">
        <v>2247</v>
      </c>
      <c r="E769" s="21" t="s">
        <v>48</v>
      </c>
      <c r="F769" s="21"/>
      <c r="G769" s="66"/>
      <c r="H769" s="64"/>
      <c r="I769" s="64"/>
      <c r="J769" s="23" t="s">
        <v>2085</v>
      </c>
      <c r="K769" s="64"/>
      <c r="L769" s="21" t="s">
        <v>2086</v>
      </c>
      <c r="M769" s="64"/>
      <c r="N769" s="66"/>
      <c r="O769" s="64"/>
      <c r="P769" s="64"/>
      <c r="Q769" s="24" t="s">
        <v>2085</v>
      </c>
      <c r="R769" s="64"/>
      <c r="S769" s="21" t="s">
        <v>2086</v>
      </c>
      <c r="T769" s="28">
        <v>560</v>
      </c>
      <c r="U769" s="27">
        <v>44295</v>
      </c>
      <c r="V769" s="27">
        <v>44295</v>
      </c>
      <c r="W769" s="95">
        <v>560</v>
      </c>
    </row>
    <row r="770" spans="1:23" ht="150" customHeight="1">
      <c r="A770" s="31">
        <v>0</v>
      </c>
      <c r="B770" s="64">
        <v>80204250585</v>
      </c>
      <c r="C770" s="21" t="s">
        <v>83</v>
      </c>
      <c r="D770" s="21" t="s">
        <v>2247</v>
      </c>
      <c r="E770" s="21" t="s">
        <v>48</v>
      </c>
      <c r="F770" s="21"/>
      <c r="G770" s="66"/>
      <c r="H770" s="64"/>
      <c r="I770" s="64"/>
      <c r="J770" s="23" t="s">
        <v>2085</v>
      </c>
      <c r="K770" s="64"/>
      <c r="L770" s="21" t="s">
        <v>2086</v>
      </c>
      <c r="M770" s="64"/>
      <c r="N770" s="66"/>
      <c r="O770" s="64"/>
      <c r="P770" s="64"/>
      <c r="Q770" s="24" t="s">
        <v>2085</v>
      </c>
      <c r="R770" s="64"/>
      <c r="S770" s="21" t="s">
        <v>2086</v>
      </c>
      <c r="T770" s="28">
        <v>560</v>
      </c>
      <c r="U770" s="27">
        <v>44295</v>
      </c>
      <c r="V770" s="27">
        <v>44295</v>
      </c>
      <c r="W770" s="95">
        <v>560</v>
      </c>
    </row>
    <row r="771" spans="1:23" ht="60" customHeight="1">
      <c r="A771" s="31">
        <v>0</v>
      </c>
      <c r="B771" s="64">
        <v>80204250585</v>
      </c>
      <c r="C771" s="21" t="s">
        <v>83</v>
      </c>
      <c r="D771" s="21" t="s">
        <v>2248</v>
      </c>
      <c r="E771" s="21" t="s">
        <v>48</v>
      </c>
      <c r="F771" s="21"/>
      <c r="G771" s="66"/>
      <c r="H771" s="64"/>
      <c r="I771" s="64"/>
      <c r="J771" s="23" t="s">
        <v>2085</v>
      </c>
      <c r="K771" s="64"/>
      <c r="L771" s="21" t="s">
        <v>2086</v>
      </c>
      <c r="M771" s="64"/>
      <c r="N771" s="66"/>
      <c r="O771" s="64"/>
      <c r="P771" s="64"/>
      <c r="Q771" s="24" t="s">
        <v>2085</v>
      </c>
      <c r="R771" s="64"/>
      <c r="S771" s="21" t="s">
        <v>2086</v>
      </c>
      <c r="T771" s="28">
        <v>1200</v>
      </c>
      <c r="U771" s="27">
        <v>44293</v>
      </c>
      <c r="V771" s="27">
        <v>44294</v>
      </c>
      <c r="W771" s="95">
        <v>1200</v>
      </c>
    </row>
    <row r="772" spans="1:23" ht="60" customHeight="1">
      <c r="A772" s="31">
        <v>0</v>
      </c>
      <c r="B772" s="64">
        <v>80204250585</v>
      </c>
      <c r="C772" s="21" t="s">
        <v>83</v>
      </c>
      <c r="D772" s="21" t="s">
        <v>2248</v>
      </c>
      <c r="E772" s="21" t="s">
        <v>48</v>
      </c>
      <c r="F772" s="21"/>
      <c r="G772" s="66"/>
      <c r="H772" s="64"/>
      <c r="I772" s="64"/>
      <c r="J772" s="23" t="s">
        <v>2085</v>
      </c>
      <c r="K772" s="64"/>
      <c r="L772" s="21" t="s">
        <v>2086</v>
      </c>
      <c r="M772" s="64"/>
      <c r="N772" s="66"/>
      <c r="O772" s="64"/>
      <c r="P772" s="64"/>
      <c r="Q772" s="24" t="s">
        <v>2085</v>
      </c>
      <c r="R772" s="64"/>
      <c r="S772" s="21" t="s">
        <v>2086</v>
      </c>
      <c r="T772" s="28">
        <v>1200</v>
      </c>
      <c r="U772" s="27">
        <v>44293</v>
      </c>
      <c r="V772" s="27">
        <v>44294</v>
      </c>
      <c r="W772" s="95">
        <v>1200</v>
      </c>
    </row>
    <row r="773" spans="1:23" ht="60" customHeight="1">
      <c r="A773" s="31">
        <v>0</v>
      </c>
      <c r="B773" s="64">
        <v>80204250585</v>
      </c>
      <c r="C773" s="21" t="s">
        <v>83</v>
      </c>
      <c r="D773" s="21" t="s">
        <v>2248</v>
      </c>
      <c r="E773" s="21" t="s">
        <v>48</v>
      </c>
      <c r="F773" s="21"/>
      <c r="G773" s="66"/>
      <c r="H773" s="64"/>
      <c r="I773" s="64"/>
      <c r="J773" s="23" t="s">
        <v>2085</v>
      </c>
      <c r="K773" s="64"/>
      <c r="L773" s="21" t="s">
        <v>2086</v>
      </c>
      <c r="M773" s="64"/>
      <c r="N773" s="66"/>
      <c r="O773" s="64"/>
      <c r="P773" s="64"/>
      <c r="Q773" s="24" t="s">
        <v>2085</v>
      </c>
      <c r="R773" s="64"/>
      <c r="S773" s="21" t="s">
        <v>2086</v>
      </c>
      <c r="T773" s="28">
        <v>1100</v>
      </c>
      <c r="U773" s="27">
        <v>44293</v>
      </c>
      <c r="V773" s="27">
        <v>44294</v>
      </c>
      <c r="W773" s="95">
        <v>1100</v>
      </c>
    </row>
    <row r="774" spans="1:23" ht="30" customHeight="1">
      <c r="A774" s="31">
        <v>0</v>
      </c>
      <c r="B774" s="64">
        <v>80204250585</v>
      </c>
      <c r="C774" s="21" t="s">
        <v>83</v>
      </c>
      <c r="D774" s="21" t="s">
        <v>2249</v>
      </c>
      <c r="E774" s="21" t="s">
        <v>48</v>
      </c>
      <c r="F774" s="21"/>
      <c r="G774" s="66"/>
      <c r="H774" s="64"/>
      <c r="I774" s="64"/>
      <c r="J774" s="23" t="s">
        <v>2250</v>
      </c>
      <c r="K774" s="64"/>
      <c r="L774" s="21" t="s">
        <v>2251</v>
      </c>
      <c r="M774" s="64"/>
      <c r="N774" s="66"/>
      <c r="O774" s="64"/>
      <c r="P774" s="64"/>
      <c r="Q774" s="23" t="s">
        <v>2250</v>
      </c>
      <c r="R774" s="64"/>
      <c r="S774" s="21" t="s">
        <v>2251</v>
      </c>
      <c r="T774" s="28">
        <v>1100</v>
      </c>
      <c r="U774" s="27">
        <v>44307</v>
      </c>
      <c r="V774" s="27">
        <v>44309</v>
      </c>
      <c r="W774" s="95">
        <v>0</v>
      </c>
    </row>
    <row r="775" spans="1:23" ht="30" customHeight="1">
      <c r="A775" s="31">
        <v>0</v>
      </c>
      <c r="B775" s="64">
        <v>80204250585</v>
      </c>
      <c r="C775" s="21" t="s">
        <v>83</v>
      </c>
      <c r="D775" s="21" t="s">
        <v>2249</v>
      </c>
      <c r="E775" s="21" t="s">
        <v>48</v>
      </c>
      <c r="F775" s="21"/>
      <c r="G775" s="66"/>
      <c r="H775" s="64"/>
      <c r="I775" s="64"/>
      <c r="J775" s="23" t="s">
        <v>2250</v>
      </c>
      <c r="K775" s="64"/>
      <c r="L775" s="21" t="s">
        <v>2251</v>
      </c>
      <c r="M775" s="64"/>
      <c r="N775" s="66"/>
      <c r="O775" s="64"/>
      <c r="P775" s="64"/>
      <c r="Q775" s="23" t="s">
        <v>2250</v>
      </c>
      <c r="R775" s="64"/>
      <c r="S775" s="21" t="s">
        <v>2251</v>
      </c>
      <c r="T775" s="28">
        <v>1100</v>
      </c>
      <c r="U775" s="27">
        <v>44307</v>
      </c>
      <c r="V775" s="27">
        <v>44309</v>
      </c>
      <c r="W775" s="95">
        <v>0</v>
      </c>
    </row>
    <row r="776" spans="1:23" ht="45" customHeight="1">
      <c r="A776" s="31">
        <v>0</v>
      </c>
      <c r="B776" s="64">
        <v>80204250585</v>
      </c>
      <c r="C776" s="21" t="s">
        <v>83</v>
      </c>
      <c r="D776" s="21" t="s">
        <v>2252</v>
      </c>
      <c r="E776" s="21" t="s">
        <v>48</v>
      </c>
      <c r="F776" s="21"/>
      <c r="G776" s="66"/>
      <c r="H776" s="64"/>
      <c r="I776" s="64"/>
      <c r="J776" s="23" t="s">
        <v>2124</v>
      </c>
      <c r="K776" s="64"/>
      <c r="L776" s="21" t="s">
        <v>2125</v>
      </c>
      <c r="M776" s="64"/>
      <c r="N776" s="66"/>
      <c r="O776" s="64"/>
      <c r="P776" s="64"/>
      <c r="Q776" s="24" t="s">
        <v>2124</v>
      </c>
      <c r="R776" s="64"/>
      <c r="S776" s="21" t="s">
        <v>2125</v>
      </c>
      <c r="T776" s="28">
        <v>1900</v>
      </c>
      <c r="U776" s="27">
        <v>44313</v>
      </c>
      <c r="V776" s="27">
        <v>44314</v>
      </c>
      <c r="W776" s="95">
        <v>1900</v>
      </c>
    </row>
    <row r="777" spans="1:23" ht="75" customHeight="1">
      <c r="A777" s="31">
        <v>0</v>
      </c>
      <c r="B777" s="64">
        <v>80204250585</v>
      </c>
      <c r="C777" s="21" t="s">
        <v>83</v>
      </c>
      <c r="D777" s="21" t="s">
        <v>2253</v>
      </c>
      <c r="E777" s="21" t="s">
        <v>48</v>
      </c>
      <c r="F777" s="21"/>
      <c r="G777" s="66"/>
      <c r="H777" s="64"/>
      <c r="I777" s="64"/>
      <c r="J777" s="23" t="s">
        <v>2085</v>
      </c>
      <c r="K777" s="64"/>
      <c r="L777" s="21" t="s">
        <v>2086</v>
      </c>
      <c r="M777" s="64"/>
      <c r="N777" s="66"/>
      <c r="O777" s="64"/>
      <c r="P777" s="64"/>
      <c r="Q777" s="24" t="s">
        <v>2085</v>
      </c>
      <c r="R777" s="64"/>
      <c r="S777" s="21" t="s">
        <v>2086</v>
      </c>
      <c r="T777" s="28">
        <v>314.29000000000002</v>
      </c>
      <c r="U777" s="27">
        <v>44314</v>
      </c>
      <c r="V777" s="27">
        <v>44314</v>
      </c>
      <c r="W777" s="95">
        <v>314.26</v>
      </c>
    </row>
    <row r="778" spans="1:23" ht="75" customHeight="1">
      <c r="A778" s="31">
        <v>0</v>
      </c>
      <c r="B778" s="64">
        <v>80204250585</v>
      </c>
      <c r="C778" s="21" t="s">
        <v>83</v>
      </c>
      <c r="D778" s="21" t="s">
        <v>2253</v>
      </c>
      <c r="E778" s="21" t="s">
        <v>48</v>
      </c>
      <c r="F778" s="21"/>
      <c r="G778" s="66"/>
      <c r="H778" s="64"/>
      <c r="I778" s="64"/>
      <c r="J778" s="23" t="s">
        <v>2085</v>
      </c>
      <c r="K778" s="64"/>
      <c r="L778" s="21" t="s">
        <v>2086</v>
      </c>
      <c r="M778" s="64"/>
      <c r="N778" s="66"/>
      <c r="O778" s="64"/>
      <c r="P778" s="64"/>
      <c r="Q778" s="24" t="s">
        <v>2085</v>
      </c>
      <c r="R778" s="64"/>
      <c r="S778" s="21" t="s">
        <v>2086</v>
      </c>
      <c r="T778" s="28">
        <v>314.29000000000002</v>
      </c>
      <c r="U778" s="27">
        <v>44314</v>
      </c>
      <c r="V778" s="27">
        <v>44314</v>
      </c>
      <c r="W778" s="95">
        <v>314.29000000000002</v>
      </c>
    </row>
    <row r="779" spans="1:23" ht="75" customHeight="1">
      <c r="A779" s="31">
        <v>0</v>
      </c>
      <c r="B779" s="64">
        <v>80204250585</v>
      </c>
      <c r="C779" s="21" t="s">
        <v>83</v>
      </c>
      <c r="D779" s="21" t="s">
        <v>2253</v>
      </c>
      <c r="E779" s="21" t="s">
        <v>48</v>
      </c>
      <c r="F779" s="21"/>
      <c r="G779" s="66"/>
      <c r="H779" s="64"/>
      <c r="I779" s="64"/>
      <c r="J779" s="23" t="s">
        <v>2085</v>
      </c>
      <c r="K779" s="64"/>
      <c r="L779" s="21" t="s">
        <v>2086</v>
      </c>
      <c r="M779" s="64"/>
      <c r="N779" s="66"/>
      <c r="O779" s="64"/>
      <c r="P779" s="64"/>
      <c r="Q779" s="24" t="s">
        <v>2085</v>
      </c>
      <c r="R779" s="64"/>
      <c r="S779" s="21" t="s">
        <v>2086</v>
      </c>
      <c r="T779" s="28">
        <v>314.29000000000002</v>
      </c>
      <c r="U779" s="27">
        <v>44314</v>
      </c>
      <c r="V779" s="27">
        <v>44314</v>
      </c>
      <c r="W779" s="95">
        <v>314.29000000000002</v>
      </c>
    </row>
    <row r="780" spans="1:23" ht="75" customHeight="1">
      <c r="A780" s="31">
        <v>0</v>
      </c>
      <c r="B780" s="64">
        <v>80204250585</v>
      </c>
      <c r="C780" s="21" t="s">
        <v>83</v>
      </c>
      <c r="D780" s="21" t="s">
        <v>2253</v>
      </c>
      <c r="E780" s="21" t="s">
        <v>48</v>
      </c>
      <c r="F780" s="21"/>
      <c r="G780" s="66"/>
      <c r="H780" s="64"/>
      <c r="I780" s="64"/>
      <c r="J780" s="23" t="s">
        <v>2085</v>
      </c>
      <c r="K780" s="64"/>
      <c r="L780" s="21" t="s">
        <v>2086</v>
      </c>
      <c r="M780" s="64"/>
      <c r="N780" s="66"/>
      <c r="O780" s="64"/>
      <c r="P780" s="64"/>
      <c r="Q780" s="24" t="s">
        <v>2085</v>
      </c>
      <c r="R780" s="64"/>
      <c r="S780" s="21" t="s">
        <v>2086</v>
      </c>
      <c r="T780" s="28">
        <v>314.29000000000002</v>
      </c>
      <c r="U780" s="27">
        <v>44314</v>
      </c>
      <c r="V780" s="27">
        <v>44314</v>
      </c>
      <c r="W780" s="95">
        <v>314.29000000000002</v>
      </c>
    </row>
    <row r="781" spans="1:23" ht="75" customHeight="1">
      <c r="A781" s="31">
        <v>0</v>
      </c>
      <c r="B781" s="64">
        <v>80204250585</v>
      </c>
      <c r="C781" s="21" t="s">
        <v>83</v>
      </c>
      <c r="D781" s="21" t="s">
        <v>2253</v>
      </c>
      <c r="E781" s="21" t="s">
        <v>48</v>
      </c>
      <c r="F781" s="21"/>
      <c r="G781" s="66"/>
      <c r="H781" s="64"/>
      <c r="I781" s="64"/>
      <c r="J781" s="23" t="s">
        <v>2085</v>
      </c>
      <c r="K781" s="64"/>
      <c r="L781" s="21" t="s">
        <v>2086</v>
      </c>
      <c r="M781" s="64"/>
      <c r="N781" s="66"/>
      <c r="O781" s="64"/>
      <c r="P781" s="64"/>
      <c r="Q781" s="24" t="s">
        <v>2085</v>
      </c>
      <c r="R781" s="64"/>
      <c r="S781" s="21" t="s">
        <v>2086</v>
      </c>
      <c r="T781" s="28">
        <v>314.29000000000002</v>
      </c>
      <c r="U781" s="27">
        <v>44314</v>
      </c>
      <c r="V781" s="27">
        <v>44314</v>
      </c>
      <c r="W781" s="95">
        <v>314.29000000000002</v>
      </c>
    </row>
    <row r="782" spans="1:23" ht="75" customHeight="1">
      <c r="A782" s="31">
        <v>0</v>
      </c>
      <c r="B782" s="64">
        <v>80204250585</v>
      </c>
      <c r="C782" s="21" t="s">
        <v>83</v>
      </c>
      <c r="D782" s="21" t="s">
        <v>2253</v>
      </c>
      <c r="E782" s="21" t="s">
        <v>48</v>
      </c>
      <c r="F782" s="21"/>
      <c r="G782" s="66"/>
      <c r="H782" s="64"/>
      <c r="I782" s="64"/>
      <c r="J782" s="23" t="s">
        <v>2085</v>
      </c>
      <c r="K782" s="64"/>
      <c r="L782" s="21" t="s">
        <v>2086</v>
      </c>
      <c r="M782" s="64"/>
      <c r="N782" s="66"/>
      <c r="O782" s="64"/>
      <c r="P782" s="64"/>
      <c r="Q782" s="24" t="s">
        <v>2085</v>
      </c>
      <c r="R782" s="64"/>
      <c r="S782" s="21" t="s">
        <v>2086</v>
      </c>
      <c r="T782" s="28">
        <v>314.29000000000002</v>
      </c>
      <c r="U782" s="27">
        <v>44314</v>
      </c>
      <c r="V782" s="27">
        <v>44314</v>
      </c>
      <c r="W782" s="95">
        <v>314.29000000000002</v>
      </c>
    </row>
    <row r="783" spans="1:23" ht="75" customHeight="1">
      <c r="A783" s="31">
        <v>0</v>
      </c>
      <c r="B783" s="64">
        <v>80204250585</v>
      </c>
      <c r="C783" s="21" t="s">
        <v>83</v>
      </c>
      <c r="D783" s="21" t="s">
        <v>2253</v>
      </c>
      <c r="E783" s="21" t="s">
        <v>48</v>
      </c>
      <c r="F783" s="21"/>
      <c r="G783" s="66"/>
      <c r="H783" s="64"/>
      <c r="I783" s="64"/>
      <c r="J783" s="23" t="s">
        <v>2085</v>
      </c>
      <c r="K783" s="64"/>
      <c r="L783" s="21" t="s">
        <v>2086</v>
      </c>
      <c r="M783" s="64"/>
      <c r="N783" s="66"/>
      <c r="O783" s="64"/>
      <c r="P783" s="64"/>
      <c r="Q783" s="24" t="s">
        <v>2085</v>
      </c>
      <c r="R783" s="64"/>
      <c r="S783" s="21" t="s">
        <v>2086</v>
      </c>
      <c r="T783" s="28">
        <v>314.29000000000002</v>
      </c>
      <c r="U783" s="27">
        <v>44314</v>
      </c>
      <c r="V783" s="27">
        <v>44314</v>
      </c>
      <c r="W783" s="95">
        <v>314.29000000000002</v>
      </c>
    </row>
    <row r="784" spans="1:23" ht="45" customHeight="1">
      <c r="A784" s="110" t="s">
        <v>2254</v>
      </c>
      <c r="B784" s="64">
        <v>80204250585</v>
      </c>
      <c r="C784" s="21" t="s">
        <v>83</v>
      </c>
      <c r="D784" s="21" t="s">
        <v>2255</v>
      </c>
      <c r="E784" s="21" t="s">
        <v>48</v>
      </c>
      <c r="F784" s="21"/>
      <c r="G784" s="66"/>
      <c r="H784" s="64"/>
      <c r="I784" s="64"/>
      <c r="J784" s="23" t="s">
        <v>2256</v>
      </c>
      <c r="K784" s="64"/>
      <c r="L784" s="21" t="s">
        <v>2257</v>
      </c>
      <c r="M784" s="64"/>
      <c r="N784" s="66"/>
      <c r="O784" s="64"/>
      <c r="P784" s="64"/>
      <c r="Q784" s="23" t="s">
        <v>2256</v>
      </c>
      <c r="R784" s="64"/>
      <c r="S784" s="21" t="s">
        <v>2257</v>
      </c>
      <c r="T784" s="28">
        <v>18000</v>
      </c>
      <c r="U784" s="27">
        <v>44317</v>
      </c>
      <c r="V784" s="27">
        <v>44500</v>
      </c>
      <c r="W784" s="95">
        <v>18000</v>
      </c>
    </row>
    <row r="785" spans="1:23" ht="60" customHeight="1">
      <c r="A785" s="31">
        <v>0</v>
      </c>
      <c r="B785" s="64">
        <v>80204250585</v>
      </c>
      <c r="C785" s="21" t="s">
        <v>83</v>
      </c>
      <c r="D785" s="21" t="s">
        <v>2258</v>
      </c>
      <c r="E785" s="21" t="s">
        <v>48</v>
      </c>
      <c r="F785" s="21"/>
      <c r="G785" s="66"/>
      <c r="H785" s="64"/>
      <c r="I785" s="64"/>
      <c r="J785" s="23" t="s">
        <v>2124</v>
      </c>
      <c r="K785" s="64"/>
      <c r="L785" s="21" t="s">
        <v>2125</v>
      </c>
      <c r="M785" s="64"/>
      <c r="N785" s="66"/>
      <c r="O785" s="64"/>
      <c r="P785" s="64"/>
      <c r="Q785" s="24" t="s">
        <v>2124</v>
      </c>
      <c r="R785" s="64"/>
      <c r="S785" s="21" t="s">
        <v>2125</v>
      </c>
      <c r="T785" s="28">
        <v>6000</v>
      </c>
      <c r="U785" s="27">
        <v>44327</v>
      </c>
      <c r="V785" s="27">
        <v>44327</v>
      </c>
      <c r="W785" s="95">
        <v>6000</v>
      </c>
    </row>
    <row r="786" spans="1:23" ht="30" customHeight="1">
      <c r="A786" s="31">
        <v>0</v>
      </c>
      <c r="B786" s="64">
        <v>80204250585</v>
      </c>
      <c r="C786" s="21" t="s">
        <v>83</v>
      </c>
      <c r="D786" s="21" t="s">
        <v>2259</v>
      </c>
      <c r="E786" s="21" t="s">
        <v>48</v>
      </c>
      <c r="F786" s="21"/>
      <c r="G786" s="66"/>
      <c r="H786" s="64"/>
      <c r="I786" s="64"/>
      <c r="J786" s="23" t="s">
        <v>2260</v>
      </c>
      <c r="K786" s="64"/>
      <c r="L786" s="21" t="s">
        <v>2261</v>
      </c>
      <c r="M786" s="64"/>
      <c r="N786" s="66"/>
      <c r="O786" s="64"/>
      <c r="P786" s="64"/>
      <c r="Q786" s="23" t="s">
        <v>2260</v>
      </c>
      <c r="R786" s="64"/>
      <c r="S786" s="21" t="s">
        <v>2261</v>
      </c>
      <c r="T786" s="28">
        <v>84</v>
      </c>
      <c r="U786" s="27">
        <v>44197</v>
      </c>
      <c r="V786" s="27">
        <v>44561</v>
      </c>
      <c r="W786" s="95">
        <v>84</v>
      </c>
    </row>
    <row r="787" spans="1:23" ht="114.75" customHeight="1">
      <c r="A787" s="31">
        <v>0</v>
      </c>
      <c r="B787" s="64">
        <v>80204250585</v>
      </c>
      <c r="C787" s="21" t="s">
        <v>83</v>
      </c>
      <c r="D787" s="109" t="s">
        <v>2262</v>
      </c>
      <c r="E787" s="21" t="s">
        <v>48</v>
      </c>
      <c r="F787" s="21"/>
      <c r="G787" s="66"/>
      <c r="H787" s="64"/>
      <c r="I787" s="64"/>
      <c r="J787" s="23" t="s">
        <v>2051</v>
      </c>
      <c r="K787" s="64"/>
      <c r="L787" s="21" t="s">
        <v>2052</v>
      </c>
      <c r="M787" s="64"/>
      <c r="N787" s="66"/>
      <c r="O787" s="64"/>
      <c r="P787" s="64"/>
      <c r="Q787" s="24" t="s">
        <v>2051</v>
      </c>
      <c r="R787" s="64"/>
      <c r="S787" s="21" t="s">
        <v>2052</v>
      </c>
      <c r="T787" s="28">
        <v>190</v>
      </c>
      <c r="U787" s="27">
        <v>44197</v>
      </c>
      <c r="V787" s="27">
        <v>44561</v>
      </c>
      <c r="W787" s="95">
        <v>190</v>
      </c>
    </row>
    <row r="788" spans="1:23" ht="45" customHeight="1">
      <c r="A788" s="31">
        <v>0</v>
      </c>
      <c r="B788" s="64">
        <v>80204250585</v>
      </c>
      <c r="C788" s="21" t="s">
        <v>83</v>
      </c>
      <c r="D788" s="21" t="s">
        <v>2263</v>
      </c>
      <c r="E788" s="21" t="s">
        <v>48</v>
      </c>
      <c r="F788" s="21"/>
      <c r="G788" s="66"/>
      <c r="H788" s="64"/>
      <c r="I788" s="64"/>
      <c r="J788" s="23" t="s">
        <v>2101</v>
      </c>
      <c r="K788" s="64"/>
      <c r="L788" s="21" t="s">
        <v>2102</v>
      </c>
      <c r="M788" s="64"/>
      <c r="N788" s="66"/>
      <c r="O788" s="64"/>
      <c r="P788" s="64"/>
      <c r="Q788" s="24" t="s">
        <v>2101</v>
      </c>
      <c r="R788" s="64"/>
      <c r="S788" s="21" t="s">
        <v>2102</v>
      </c>
      <c r="T788" s="28">
        <v>1125</v>
      </c>
      <c r="U788" s="27">
        <v>44322</v>
      </c>
      <c r="V788" s="27">
        <v>44327</v>
      </c>
      <c r="W788" s="95">
        <v>1125</v>
      </c>
    </row>
    <row r="789" spans="1:23" ht="75" customHeight="1">
      <c r="A789" s="31">
        <v>0</v>
      </c>
      <c r="B789" s="64">
        <v>80204250585</v>
      </c>
      <c r="C789" s="21" t="s">
        <v>83</v>
      </c>
      <c r="D789" s="21" t="s">
        <v>2264</v>
      </c>
      <c r="E789" s="21" t="s">
        <v>48</v>
      </c>
      <c r="F789" s="21"/>
      <c r="G789" s="66"/>
      <c r="H789" s="64"/>
      <c r="I789" s="64"/>
      <c r="J789" s="23" t="s">
        <v>2085</v>
      </c>
      <c r="K789" s="64"/>
      <c r="L789" s="21" t="s">
        <v>2086</v>
      </c>
      <c r="M789" s="64"/>
      <c r="N789" s="66"/>
      <c r="O789" s="64"/>
      <c r="P789" s="64"/>
      <c r="Q789" s="24" t="s">
        <v>2085</v>
      </c>
      <c r="R789" s="64"/>
      <c r="S789" s="21" t="s">
        <v>2086</v>
      </c>
      <c r="T789" s="28">
        <v>690</v>
      </c>
      <c r="U789" s="27">
        <v>44334</v>
      </c>
      <c r="V789" s="27">
        <v>44334</v>
      </c>
      <c r="W789" s="95">
        <v>690</v>
      </c>
    </row>
    <row r="790" spans="1:23" ht="30" customHeight="1">
      <c r="A790" s="31">
        <v>0</v>
      </c>
      <c r="B790" s="64">
        <v>80204250585</v>
      </c>
      <c r="C790" s="21" t="s">
        <v>83</v>
      </c>
      <c r="D790" s="21" t="s">
        <v>2265</v>
      </c>
      <c r="E790" s="21" t="s">
        <v>48</v>
      </c>
      <c r="F790" s="21"/>
      <c r="G790" s="66"/>
      <c r="H790" s="64"/>
      <c r="I790" s="64"/>
      <c r="J790" s="23" t="s">
        <v>2266</v>
      </c>
      <c r="K790" s="64"/>
      <c r="L790" s="21" t="s">
        <v>2267</v>
      </c>
      <c r="M790" s="64"/>
      <c r="N790" s="66"/>
      <c r="O790" s="64"/>
      <c r="P790" s="64"/>
      <c r="Q790" s="23" t="s">
        <v>2266</v>
      </c>
      <c r="R790" s="64"/>
      <c r="S790" s="21" t="s">
        <v>2267</v>
      </c>
      <c r="T790" s="28">
        <v>110</v>
      </c>
      <c r="U790" s="27">
        <v>44333</v>
      </c>
      <c r="V790" s="27">
        <v>44337</v>
      </c>
      <c r="W790" s="95">
        <v>110</v>
      </c>
    </row>
    <row r="791" spans="1:23" ht="60" customHeight="1">
      <c r="A791" s="31">
        <v>0</v>
      </c>
      <c r="B791" s="64">
        <v>80204250585</v>
      </c>
      <c r="C791" s="21" t="s">
        <v>83</v>
      </c>
      <c r="D791" s="21" t="s">
        <v>2268</v>
      </c>
      <c r="E791" s="21" t="s">
        <v>48</v>
      </c>
      <c r="F791" s="21"/>
      <c r="G791" s="66"/>
      <c r="H791" s="64"/>
      <c r="I791" s="64"/>
      <c r="J791" s="23" t="s">
        <v>2066</v>
      </c>
      <c r="K791" s="64"/>
      <c r="L791" s="21" t="s">
        <v>2067</v>
      </c>
      <c r="M791" s="64"/>
      <c r="N791" s="64"/>
      <c r="O791" s="64"/>
      <c r="P791" s="64"/>
      <c r="Q791" s="23" t="s">
        <v>2066</v>
      </c>
      <c r="R791" s="64"/>
      <c r="S791" s="21" t="s">
        <v>2067</v>
      </c>
      <c r="T791" s="28">
        <v>19400</v>
      </c>
      <c r="U791" s="27">
        <v>44284</v>
      </c>
      <c r="V791" s="27">
        <v>44496</v>
      </c>
      <c r="W791" s="95">
        <v>18000</v>
      </c>
    </row>
    <row r="792" spans="1:23" ht="75" customHeight="1">
      <c r="A792" s="31">
        <v>0</v>
      </c>
      <c r="B792" s="64">
        <v>80204250585</v>
      </c>
      <c r="C792" s="21" t="s">
        <v>83</v>
      </c>
      <c r="D792" s="21" t="s">
        <v>2264</v>
      </c>
      <c r="E792" s="21" t="s">
        <v>48</v>
      </c>
      <c r="F792" s="21"/>
      <c r="G792" s="66"/>
      <c r="H792" s="64"/>
      <c r="I792" s="64"/>
      <c r="J792" s="23" t="s">
        <v>2085</v>
      </c>
      <c r="K792" s="64"/>
      <c r="L792" s="21" t="s">
        <v>2086</v>
      </c>
      <c r="M792" s="64"/>
      <c r="N792" s="66"/>
      <c r="O792" s="64"/>
      <c r="P792" s="64"/>
      <c r="Q792" s="24" t="s">
        <v>2085</v>
      </c>
      <c r="R792" s="64"/>
      <c r="S792" s="21" t="s">
        <v>2086</v>
      </c>
      <c r="T792" s="28">
        <v>550</v>
      </c>
      <c r="U792" s="27">
        <v>44334</v>
      </c>
      <c r="V792" s="27">
        <v>44334</v>
      </c>
      <c r="W792" s="95">
        <v>550</v>
      </c>
    </row>
    <row r="793" spans="1:23" ht="114.75" customHeight="1">
      <c r="A793" s="31">
        <v>0</v>
      </c>
      <c r="B793" s="64">
        <v>80204250585</v>
      </c>
      <c r="C793" s="21" t="s">
        <v>83</v>
      </c>
      <c r="D793" s="109" t="s">
        <v>2269</v>
      </c>
      <c r="E793" s="21" t="s">
        <v>48</v>
      </c>
      <c r="F793" s="21"/>
      <c r="G793" s="66"/>
      <c r="H793" s="64"/>
      <c r="I793" s="64"/>
      <c r="J793" s="23" t="s">
        <v>2135</v>
      </c>
      <c r="K793" s="64"/>
      <c r="L793" s="21" t="s">
        <v>2136</v>
      </c>
      <c r="M793" s="64"/>
      <c r="N793" s="66"/>
      <c r="O793" s="64"/>
      <c r="P793" s="64"/>
      <c r="Q793" s="23" t="s">
        <v>2135</v>
      </c>
      <c r="R793" s="64"/>
      <c r="S793" s="21" t="s">
        <v>2136</v>
      </c>
      <c r="T793" s="28">
        <v>4800</v>
      </c>
      <c r="U793" s="27">
        <v>44325</v>
      </c>
      <c r="V793" s="27">
        <v>44449</v>
      </c>
      <c r="W793" s="95">
        <v>2400</v>
      </c>
    </row>
    <row r="794" spans="1:23" ht="75" customHeight="1">
      <c r="A794" s="31">
        <v>0</v>
      </c>
      <c r="B794" s="64">
        <v>80204250585</v>
      </c>
      <c r="C794" s="21" t="s">
        <v>83</v>
      </c>
      <c r="D794" s="21" t="s">
        <v>2270</v>
      </c>
      <c r="E794" s="21" t="s">
        <v>48</v>
      </c>
      <c r="F794" s="21"/>
      <c r="G794" s="66"/>
      <c r="H794" s="64"/>
      <c r="I794" s="64"/>
      <c r="J794" s="23" t="s">
        <v>2085</v>
      </c>
      <c r="K794" s="64"/>
      <c r="L794" s="21" t="s">
        <v>2086</v>
      </c>
      <c r="M794" s="64"/>
      <c r="N794" s="66"/>
      <c r="O794" s="64"/>
      <c r="P794" s="64"/>
      <c r="Q794" s="24" t="s">
        <v>2085</v>
      </c>
      <c r="R794" s="64"/>
      <c r="S794" s="21" t="s">
        <v>2086</v>
      </c>
      <c r="T794" s="28">
        <v>690</v>
      </c>
      <c r="U794" s="27">
        <v>44341</v>
      </c>
      <c r="V794" s="27">
        <v>44341</v>
      </c>
      <c r="W794" s="95">
        <v>690</v>
      </c>
    </row>
    <row r="795" spans="1:23" ht="90" customHeight="1">
      <c r="A795" s="31">
        <v>0</v>
      </c>
      <c r="B795" s="64">
        <v>80204250585</v>
      </c>
      <c r="C795" s="21" t="s">
        <v>83</v>
      </c>
      <c r="D795" s="21" t="s">
        <v>2271</v>
      </c>
      <c r="E795" s="21" t="s">
        <v>48</v>
      </c>
      <c r="F795" s="21"/>
      <c r="G795" s="66"/>
      <c r="H795" s="64"/>
      <c r="I795" s="64"/>
      <c r="J795" s="23" t="s">
        <v>2272</v>
      </c>
      <c r="K795" s="64"/>
      <c r="L795" s="122" t="s">
        <v>2273</v>
      </c>
      <c r="M795" s="64"/>
      <c r="N795" s="66"/>
      <c r="O795" s="64"/>
      <c r="P795" s="64"/>
      <c r="Q795" s="23" t="s">
        <v>2272</v>
      </c>
      <c r="R795" s="64"/>
      <c r="S795" s="122" t="s">
        <v>2273</v>
      </c>
      <c r="T795" s="28">
        <v>500</v>
      </c>
      <c r="U795" s="27">
        <v>44350</v>
      </c>
      <c r="V795" s="27">
        <v>44531</v>
      </c>
      <c r="W795" s="95">
        <v>210</v>
      </c>
    </row>
    <row r="796" spans="1:23" ht="90" customHeight="1">
      <c r="A796" s="31">
        <v>0</v>
      </c>
      <c r="B796" s="64">
        <v>80204250585</v>
      </c>
      <c r="C796" s="21" t="s">
        <v>83</v>
      </c>
      <c r="D796" s="21" t="s">
        <v>2271</v>
      </c>
      <c r="E796" s="21" t="s">
        <v>48</v>
      </c>
      <c r="F796" s="21"/>
      <c r="G796" s="66"/>
      <c r="H796" s="64"/>
      <c r="I796" s="64"/>
      <c r="J796" s="23" t="s">
        <v>2272</v>
      </c>
      <c r="K796" s="64"/>
      <c r="L796" s="122" t="s">
        <v>2273</v>
      </c>
      <c r="M796" s="64"/>
      <c r="N796" s="66"/>
      <c r="O796" s="64"/>
      <c r="P796" s="64"/>
      <c r="Q796" s="23" t="s">
        <v>2272</v>
      </c>
      <c r="R796" s="64"/>
      <c r="S796" s="122" t="s">
        <v>2273</v>
      </c>
      <c r="T796" s="28">
        <v>500</v>
      </c>
      <c r="U796" s="27">
        <v>44350</v>
      </c>
      <c r="V796" s="27">
        <v>44531</v>
      </c>
      <c r="W796" s="95">
        <v>500</v>
      </c>
    </row>
    <row r="797" spans="1:23" ht="90" customHeight="1">
      <c r="A797" s="31">
        <v>0</v>
      </c>
      <c r="B797" s="64">
        <v>80204250585</v>
      </c>
      <c r="C797" s="21" t="s">
        <v>83</v>
      </c>
      <c r="D797" s="21" t="s">
        <v>2271</v>
      </c>
      <c r="E797" s="21" t="s">
        <v>48</v>
      </c>
      <c r="F797" s="21"/>
      <c r="G797" s="66"/>
      <c r="H797" s="64"/>
      <c r="I797" s="64"/>
      <c r="J797" s="23" t="s">
        <v>2272</v>
      </c>
      <c r="K797" s="64"/>
      <c r="L797" s="122" t="s">
        <v>2273</v>
      </c>
      <c r="M797" s="64"/>
      <c r="N797" s="66"/>
      <c r="O797" s="64"/>
      <c r="P797" s="64"/>
      <c r="Q797" s="23" t="s">
        <v>2272</v>
      </c>
      <c r="R797" s="64"/>
      <c r="S797" s="122" t="s">
        <v>2273</v>
      </c>
      <c r="T797" s="28">
        <v>500</v>
      </c>
      <c r="U797" s="27">
        <v>44350</v>
      </c>
      <c r="V797" s="27">
        <v>44531</v>
      </c>
      <c r="W797" s="95">
        <v>500</v>
      </c>
    </row>
    <row r="798" spans="1:23" s="25" customFormat="1" ht="60" customHeight="1">
      <c r="A798" s="31" t="s">
        <v>2274</v>
      </c>
      <c r="B798" s="64">
        <v>80204250585</v>
      </c>
      <c r="C798" s="21" t="s">
        <v>83</v>
      </c>
      <c r="D798" s="21" t="s">
        <v>2275</v>
      </c>
      <c r="E798" s="21" t="s">
        <v>48</v>
      </c>
      <c r="F798" s="21"/>
      <c r="G798" s="66"/>
      <c r="H798" s="64"/>
      <c r="I798" s="64"/>
      <c r="J798" s="23" t="s">
        <v>2144</v>
      </c>
      <c r="K798" s="64"/>
      <c r="L798" s="21" t="s">
        <v>2145</v>
      </c>
      <c r="M798" s="64"/>
      <c r="N798" s="66"/>
      <c r="O798" s="64"/>
      <c r="P798" s="64"/>
      <c r="Q798" s="23" t="s">
        <v>2144</v>
      </c>
      <c r="R798" s="64"/>
      <c r="S798" s="21" t="s">
        <v>2145</v>
      </c>
      <c r="T798" s="28">
        <v>3096</v>
      </c>
      <c r="U798" s="27">
        <v>44197</v>
      </c>
      <c r="V798" s="27">
        <v>44561</v>
      </c>
      <c r="W798" s="95">
        <v>2120</v>
      </c>
    </row>
    <row r="799" spans="1:23" ht="45" customHeight="1">
      <c r="A799" s="31" t="s">
        <v>2276</v>
      </c>
      <c r="B799" s="64">
        <v>80204250585</v>
      </c>
      <c r="C799" s="21" t="s">
        <v>83</v>
      </c>
      <c r="D799" s="21" t="s">
        <v>2277</v>
      </c>
      <c r="E799" s="21" t="s">
        <v>48</v>
      </c>
      <c r="F799" s="21"/>
      <c r="G799" s="66"/>
      <c r="H799" s="64"/>
      <c r="I799" s="64"/>
      <c r="J799" s="23" t="s">
        <v>2196</v>
      </c>
      <c r="K799" s="64"/>
      <c r="L799" s="21" t="s">
        <v>2197</v>
      </c>
      <c r="M799" s="64"/>
      <c r="N799" s="64"/>
      <c r="O799" s="64"/>
      <c r="P799" s="64"/>
      <c r="Q799" s="23" t="s">
        <v>2196</v>
      </c>
      <c r="R799" s="64"/>
      <c r="S799" s="21" t="s">
        <v>2197</v>
      </c>
      <c r="T799" s="28">
        <v>800</v>
      </c>
      <c r="U799" s="27">
        <v>44348</v>
      </c>
      <c r="V799" s="27">
        <v>44407</v>
      </c>
      <c r="W799" s="95">
        <v>800</v>
      </c>
    </row>
    <row r="800" spans="1:23" s="25" customFormat="1" ht="45" customHeight="1">
      <c r="A800" s="31" t="s">
        <v>2278</v>
      </c>
      <c r="B800" s="64">
        <v>80204250585</v>
      </c>
      <c r="C800" s="21" t="s">
        <v>83</v>
      </c>
      <c r="D800" s="21" t="s">
        <v>2279</v>
      </c>
      <c r="E800" s="21" t="s">
        <v>48</v>
      </c>
      <c r="F800" s="21"/>
      <c r="G800" s="66"/>
      <c r="H800" s="64"/>
      <c r="I800" s="64"/>
      <c r="J800" s="23" t="s">
        <v>2280</v>
      </c>
      <c r="K800" s="64"/>
      <c r="L800" s="21" t="s">
        <v>2281</v>
      </c>
      <c r="M800" s="64"/>
      <c r="N800" s="64"/>
      <c r="O800" s="64"/>
      <c r="P800" s="64"/>
      <c r="Q800" s="23" t="s">
        <v>2280</v>
      </c>
      <c r="R800" s="64"/>
      <c r="S800" s="21" t="s">
        <v>2281</v>
      </c>
      <c r="T800" s="28">
        <v>2050</v>
      </c>
      <c r="U800" s="27">
        <v>44348</v>
      </c>
      <c r="V800" s="27">
        <v>44407</v>
      </c>
      <c r="W800" s="95">
        <v>2050</v>
      </c>
    </row>
    <row r="801" spans="1:23" ht="90" customHeight="1">
      <c r="A801" s="31" t="s">
        <v>2282</v>
      </c>
      <c r="B801" s="64">
        <v>80204250585</v>
      </c>
      <c r="C801" s="21" t="s">
        <v>83</v>
      </c>
      <c r="D801" s="21" t="s">
        <v>2283</v>
      </c>
      <c r="E801" s="21" t="s">
        <v>39</v>
      </c>
      <c r="F801" s="21"/>
      <c r="G801" s="66"/>
      <c r="H801" s="64"/>
      <c r="I801" s="64"/>
      <c r="J801" s="23" t="s">
        <v>2225</v>
      </c>
      <c r="K801" s="64"/>
      <c r="L801" s="21" t="s">
        <v>2226</v>
      </c>
      <c r="M801" s="64"/>
      <c r="N801" s="66"/>
      <c r="O801" s="64"/>
      <c r="P801" s="64"/>
      <c r="Q801" s="23" t="s">
        <v>2225</v>
      </c>
      <c r="R801" s="64"/>
      <c r="S801" s="21" t="s">
        <v>2226</v>
      </c>
      <c r="T801" s="28">
        <v>117600</v>
      </c>
      <c r="U801" s="27">
        <v>44389</v>
      </c>
      <c r="V801" s="27">
        <v>44620</v>
      </c>
      <c r="W801" s="95">
        <v>0</v>
      </c>
    </row>
    <row r="802" spans="1:23" ht="90" customHeight="1">
      <c r="A802" s="31" t="s">
        <v>1395</v>
      </c>
      <c r="B802" s="64">
        <v>80204250585</v>
      </c>
      <c r="C802" s="21" t="s">
        <v>83</v>
      </c>
      <c r="D802" s="21" t="s">
        <v>2284</v>
      </c>
      <c r="E802" s="21" t="s">
        <v>48</v>
      </c>
      <c r="F802" s="21"/>
      <c r="G802" s="66"/>
      <c r="H802" s="64"/>
      <c r="I802" s="64"/>
      <c r="J802" s="23" t="s">
        <v>2225</v>
      </c>
      <c r="K802" s="64"/>
      <c r="L802" s="21" t="s">
        <v>2226</v>
      </c>
      <c r="M802" s="64"/>
      <c r="N802" s="66"/>
      <c r="O802" s="64"/>
      <c r="P802" s="64"/>
      <c r="Q802" s="23" t="s">
        <v>2225</v>
      </c>
      <c r="R802" s="64"/>
      <c r="S802" s="21" t="s">
        <v>2226</v>
      </c>
      <c r="T802" s="28">
        <v>39000</v>
      </c>
      <c r="U802" s="27">
        <v>44396</v>
      </c>
      <c r="V802" s="27">
        <v>44561</v>
      </c>
      <c r="W802" s="95">
        <v>0</v>
      </c>
    </row>
    <row r="803" spans="1:23" ht="135" customHeight="1">
      <c r="A803" s="66" t="s">
        <v>1401</v>
      </c>
      <c r="B803" s="64">
        <v>80204250585</v>
      </c>
      <c r="C803" s="21" t="s">
        <v>83</v>
      </c>
      <c r="D803" s="21" t="s">
        <v>2285</v>
      </c>
      <c r="E803" s="21" t="s">
        <v>48</v>
      </c>
      <c r="F803" s="21"/>
      <c r="G803" s="66"/>
      <c r="H803" s="64"/>
      <c r="I803" s="64"/>
      <c r="J803" s="23" t="s">
        <v>1972</v>
      </c>
      <c r="K803" s="64"/>
      <c r="L803" s="21" t="s">
        <v>1973</v>
      </c>
      <c r="M803" s="64"/>
      <c r="N803" s="66"/>
      <c r="O803" s="64"/>
      <c r="P803" s="64"/>
      <c r="Q803" s="24" t="s">
        <v>1972</v>
      </c>
      <c r="R803" s="64"/>
      <c r="S803" s="21" t="s">
        <v>1973</v>
      </c>
      <c r="T803" s="28">
        <v>17760</v>
      </c>
      <c r="U803" s="27">
        <v>44414</v>
      </c>
      <c r="V803" s="27">
        <v>44561</v>
      </c>
      <c r="W803" s="95">
        <v>0</v>
      </c>
    </row>
    <row r="804" spans="1:23" ht="60" customHeight="1">
      <c r="A804" s="31" t="s">
        <v>2286</v>
      </c>
      <c r="B804" s="64">
        <v>80204250585</v>
      </c>
      <c r="C804" s="21" t="s">
        <v>83</v>
      </c>
      <c r="D804" s="21" t="s">
        <v>2287</v>
      </c>
      <c r="E804" s="21" t="s">
        <v>48</v>
      </c>
      <c r="F804" s="21"/>
      <c r="G804" s="66"/>
      <c r="H804" s="64"/>
      <c r="I804" s="64"/>
      <c r="J804" s="23" t="s">
        <v>2288</v>
      </c>
      <c r="K804" s="64"/>
      <c r="L804" s="21" t="s">
        <v>1348</v>
      </c>
      <c r="M804" s="64"/>
      <c r="N804" s="66"/>
      <c r="O804" s="64"/>
      <c r="P804" s="64"/>
      <c r="Q804" s="23" t="s">
        <v>2288</v>
      </c>
      <c r="R804" s="64"/>
      <c r="S804" s="21" t="s">
        <v>1348</v>
      </c>
      <c r="T804" s="28">
        <v>19500</v>
      </c>
      <c r="U804" s="27">
        <v>44414</v>
      </c>
      <c r="V804" s="27">
        <v>44561</v>
      </c>
      <c r="W804" s="95">
        <v>0</v>
      </c>
    </row>
    <row r="805" spans="1:23" ht="43.5" customHeight="1">
      <c r="A805" s="31">
        <v>0</v>
      </c>
      <c r="B805" s="64">
        <v>80204250585</v>
      </c>
      <c r="C805" s="21" t="s">
        <v>83</v>
      </c>
      <c r="D805" s="113" t="s">
        <v>2289</v>
      </c>
      <c r="E805" s="21" t="s">
        <v>48</v>
      </c>
      <c r="F805" s="21"/>
      <c r="G805" s="66"/>
      <c r="H805" s="64"/>
      <c r="I805" s="64"/>
      <c r="J805" s="111" t="s">
        <v>2156</v>
      </c>
      <c r="K805" s="64"/>
      <c r="L805" s="21" t="s">
        <v>877</v>
      </c>
      <c r="M805" s="64"/>
      <c r="N805" s="66"/>
      <c r="O805" s="64"/>
      <c r="P805" s="64"/>
      <c r="Q805" s="111" t="s">
        <v>2156</v>
      </c>
      <c r="R805" s="64"/>
      <c r="S805" s="21" t="s">
        <v>877</v>
      </c>
      <c r="T805" s="28">
        <v>7000</v>
      </c>
      <c r="U805" s="27">
        <v>44470</v>
      </c>
      <c r="V805" s="27">
        <v>44708</v>
      </c>
      <c r="W805" s="95">
        <v>3500</v>
      </c>
    </row>
    <row r="806" spans="1:23" s="25" customFormat="1" ht="57.75" customHeight="1">
      <c r="A806" s="31" t="s">
        <v>2290</v>
      </c>
      <c r="B806" s="64">
        <v>80204250585</v>
      </c>
      <c r="C806" s="21" t="s">
        <v>83</v>
      </c>
      <c r="D806" s="113" t="s">
        <v>2291</v>
      </c>
      <c r="E806" s="21" t="s">
        <v>48</v>
      </c>
      <c r="F806" s="21"/>
      <c r="G806" s="66"/>
      <c r="H806" s="64"/>
      <c r="I806" s="64"/>
      <c r="J806" s="111" t="s">
        <v>2292</v>
      </c>
      <c r="K806" s="64"/>
      <c r="L806" s="21" t="s">
        <v>2293</v>
      </c>
      <c r="M806" s="64"/>
      <c r="N806" s="66"/>
      <c r="O806" s="64"/>
      <c r="P806" s="64"/>
      <c r="Q806" s="111" t="s">
        <v>2292</v>
      </c>
      <c r="R806" s="64"/>
      <c r="S806" s="21" t="s">
        <v>2293</v>
      </c>
      <c r="T806" s="28">
        <v>900</v>
      </c>
      <c r="U806" s="27">
        <v>44441</v>
      </c>
      <c r="V806" s="27">
        <v>44561</v>
      </c>
      <c r="W806" s="95">
        <v>900</v>
      </c>
    </row>
    <row r="807" spans="1:23" ht="60" customHeight="1">
      <c r="A807" s="31">
        <v>0</v>
      </c>
      <c r="B807" s="64">
        <v>80204250585</v>
      </c>
      <c r="C807" s="21" t="s">
        <v>83</v>
      </c>
      <c r="D807" s="21" t="s">
        <v>2294</v>
      </c>
      <c r="E807" s="21" t="s">
        <v>48</v>
      </c>
      <c r="F807" s="21"/>
      <c r="G807" s="66"/>
      <c r="H807" s="64"/>
      <c r="I807" s="64"/>
      <c r="J807" s="23" t="s">
        <v>2016</v>
      </c>
      <c r="K807" s="64"/>
      <c r="L807" s="21" t="s">
        <v>2017</v>
      </c>
      <c r="M807" s="64"/>
      <c r="N807" s="66"/>
      <c r="O807" s="64"/>
      <c r="P807" s="64"/>
      <c r="Q807" s="24" t="s">
        <v>2016</v>
      </c>
      <c r="R807" s="64"/>
      <c r="S807" s="21" t="s">
        <v>2017</v>
      </c>
      <c r="T807" s="28">
        <v>299</v>
      </c>
      <c r="U807" s="27">
        <v>44470</v>
      </c>
      <c r="V807" s="27">
        <v>44471</v>
      </c>
      <c r="W807" s="95">
        <v>0</v>
      </c>
    </row>
    <row r="808" spans="1:23" ht="60" customHeight="1">
      <c r="A808" s="31">
        <v>0</v>
      </c>
      <c r="B808" s="64">
        <v>80204250585</v>
      </c>
      <c r="C808" s="21" t="s">
        <v>83</v>
      </c>
      <c r="D808" s="21" t="s">
        <v>2295</v>
      </c>
      <c r="E808" s="21" t="s">
        <v>48</v>
      </c>
      <c r="F808" s="21"/>
      <c r="G808" s="66"/>
      <c r="H808" s="64"/>
      <c r="I808" s="64"/>
      <c r="J808" s="23" t="s">
        <v>2124</v>
      </c>
      <c r="K808" s="64"/>
      <c r="L808" s="21" t="s">
        <v>2125</v>
      </c>
      <c r="M808" s="64"/>
      <c r="N808" s="66"/>
      <c r="O808" s="64"/>
      <c r="P808" s="64"/>
      <c r="Q808" s="24" t="s">
        <v>2124</v>
      </c>
      <c r="R808" s="64"/>
      <c r="S808" s="21" t="s">
        <v>2125</v>
      </c>
      <c r="T808" s="28">
        <v>880</v>
      </c>
      <c r="U808" s="27">
        <v>44476</v>
      </c>
      <c r="V808" s="27">
        <v>44476</v>
      </c>
      <c r="W808" s="95">
        <v>880</v>
      </c>
    </row>
    <row r="809" spans="1:23" ht="60" customHeight="1">
      <c r="A809" s="31">
        <v>0</v>
      </c>
      <c r="B809" s="64">
        <v>80204250585</v>
      </c>
      <c r="C809" s="21" t="s">
        <v>83</v>
      </c>
      <c r="D809" s="21" t="s">
        <v>2295</v>
      </c>
      <c r="E809" s="21" t="s">
        <v>48</v>
      </c>
      <c r="F809" s="21"/>
      <c r="G809" s="66"/>
      <c r="H809" s="64"/>
      <c r="I809" s="64"/>
      <c r="J809" s="23" t="s">
        <v>2124</v>
      </c>
      <c r="K809" s="64"/>
      <c r="L809" s="21" t="s">
        <v>2125</v>
      </c>
      <c r="M809" s="64"/>
      <c r="N809" s="66"/>
      <c r="O809" s="64"/>
      <c r="P809" s="64"/>
      <c r="Q809" s="24" t="s">
        <v>2124</v>
      </c>
      <c r="R809" s="64"/>
      <c r="S809" s="21" t="s">
        <v>2125</v>
      </c>
      <c r="T809" s="28">
        <v>880</v>
      </c>
      <c r="U809" s="27">
        <v>44476</v>
      </c>
      <c r="V809" s="27">
        <v>44476</v>
      </c>
      <c r="W809" s="95">
        <v>880</v>
      </c>
    </row>
    <row r="810" spans="1:23" ht="45" customHeight="1">
      <c r="A810" s="31">
        <v>0</v>
      </c>
      <c r="B810" s="64">
        <v>80204250585</v>
      </c>
      <c r="C810" s="21" t="s">
        <v>83</v>
      </c>
      <c r="D810" s="21" t="s">
        <v>2296</v>
      </c>
      <c r="E810" s="21" t="s">
        <v>48</v>
      </c>
      <c r="F810" s="21"/>
      <c r="G810" s="66"/>
      <c r="H810" s="64"/>
      <c r="I810" s="64"/>
      <c r="J810" s="23" t="s">
        <v>2297</v>
      </c>
      <c r="K810" s="64"/>
      <c r="L810" s="21" t="s">
        <v>2298</v>
      </c>
      <c r="M810" s="64"/>
      <c r="N810" s="66"/>
      <c r="O810" s="64"/>
      <c r="P810" s="64"/>
      <c r="Q810" s="23" t="s">
        <v>2297</v>
      </c>
      <c r="R810" s="64"/>
      <c r="S810" s="21" t="s">
        <v>2298</v>
      </c>
      <c r="T810" s="95">
        <v>7000</v>
      </c>
      <c r="U810" s="71">
        <v>44509</v>
      </c>
      <c r="V810" s="71">
        <v>44742</v>
      </c>
      <c r="W810" s="95">
        <v>3000</v>
      </c>
    </row>
    <row r="811" spans="1:23" ht="45" customHeight="1">
      <c r="A811" s="31">
        <v>0</v>
      </c>
      <c r="B811" s="64">
        <v>80204250585</v>
      </c>
      <c r="C811" s="21" t="s">
        <v>83</v>
      </c>
      <c r="D811" s="21" t="s">
        <v>2296</v>
      </c>
      <c r="E811" s="21" t="s">
        <v>48</v>
      </c>
      <c r="F811" s="21"/>
      <c r="G811" s="66"/>
      <c r="H811" s="64"/>
      <c r="I811" s="64"/>
      <c r="J811" s="23" t="s">
        <v>2297</v>
      </c>
      <c r="K811" s="64"/>
      <c r="L811" s="21" t="s">
        <v>2298</v>
      </c>
      <c r="M811" s="64"/>
      <c r="N811" s="66"/>
      <c r="O811" s="64"/>
      <c r="P811" s="64"/>
      <c r="Q811" s="23" t="s">
        <v>2297</v>
      </c>
      <c r="R811" s="64"/>
      <c r="S811" s="21" t="s">
        <v>2298</v>
      </c>
      <c r="T811" s="95">
        <v>7000</v>
      </c>
      <c r="U811" s="71">
        <v>44509</v>
      </c>
      <c r="V811" s="71">
        <v>44742</v>
      </c>
      <c r="W811" s="95">
        <v>3000</v>
      </c>
    </row>
    <row r="812" spans="1:23" ht="45" customHeight="1">
      <c r="A812" s="31">
        <v>0</v>
      </c>
      <c r="B812" s="64">
        <v>80204250585</v>
      </c>
      <c r="C812" s="21" t="s">
        <v>83</v>
      </c>
      <c r="D812" s="21" t="s">
        <v>2299</v>
      </c>
      <c r="E812" s="21" t="s">
        <v>48</v>
      </c>
      <c r="F812" s="21"/>
      <c r="G812" s="66"/>
      <c r="H812" s="64"/>
      <c r="I812" s="64"/>
      <c r="J812" s="23"/>
      <c r="K812" s="64"/>
      <c r="L812" s="21" t="s">
        <v>2300</v>
      </c>
      <c r="M812" s="64"/>
      <c r="N812" s="66"/>
      <c r="O812" s="64"/>
      <c r="P812" s="64"/>
      <c r="Q812" s="23"/>
      <c r="R812" s="64"/>
      <c r="S812" s="21" t="s">
        <v>2300</v>
      </c>
      <c r="T812" s="95">
        <v>300</v>
      </c>
      <c r="U812" s="71">
        <v>44518</v>
      </c>
      <c r="V812" s="71">
        <v>44523</v>
      </c>
      <c r="W812" s="95">
        <v>300</v>
      </c>
    </row>
    <row r="813" spans="1:23" ht="45" customHeight="1">
      <c r="A813" s="31">
        <v>0</v>
      </c>
      <c r="B813" s="64">
        <v>80204250585</v>
      </c>
      <c r="C813" s="21" t="s">
        <v>83</v>
      </c>
      <c r="D813" s="21" t="s">
        <v>2299</v>
      </c>
      <c r="E813" s="21" t="s">
        <v>48</v>
      </c>
      <c r="F813" s="21"/>
      <c r="G813" s="66"/>
      <c r="H813" s="64"/>
      <c r="I813" s="64"/>
      <c r="J813" s="23"/>
      <c r="K813" s="64"/>
      <c r="L813" s="21" t="s">
        <v>2300</v>
      </c>
      <c r="M813" s="64"/>
      <c r="N813" s="66"/>
      <c r="O813" s="64"/>
      <c r="P813" s="64"/>
      <c r="Q813" s="23"/>
      <c r="R813" s="64"/>
      <c r="S813" s="21" t="s">
        <v>2300</v>
      </c>
      <c r="T813" s="95">
        <v>300</v>
      </c>
      <c r="U813" s="71">
        <v>44518</v>
      </c>
      <c r="V813" s="71">
        <v>44523</v>
      </c>
      <c r="W813" s="95">
        <v>300</v>
      </c>
    </row>
    <row r="814" spans="1:23" ht="75" customHeight="1">
      <c r="A814" s="31">
        <v>0</v>
      </c>
      <c r="B814" s="64">
        <v>80204250585</v>
      </c>
      <c r="C814" s="21" t="s">
        <v>83</v>
      </c>
      <c r="D814" s="21" t="s">
        <v>2301</v>
      </c>
      <c r="E814" s="21" t="s">
        <v>48</v>
      </c>
      <c r="F814" s="21"/>
      <c r="G814" s="66"/>
      <c r="H814" s="64"/>
      <c r="I814" s="64"/>
      <c r="J814" s="111" t="s">
        <v>2158</v>
      </c>
      <c r="K814" s="64"/>
      <c r="L814" s="21" t="s">
        <v>2159</v>
      </c>
      <c r="M814" s="64"/>
      <c r="N814" s="66"/>
      <c r="O814" s="64"/>
      <c r="P814" s="64"/>
      <c r="Q814" s="111" t="s">
        <v>2158</v>
      </c>
      <c r="R814" s="64"/>
      <c r="S814" s="21" t="s">
        <v>2159</v>
      </c>
      <c r="T814" s="95">
        <v>495</v>
      </c>
      <c r="U814" s="112">
        <v>44525</v>
      </c>
      <c r="V814" s="112">
        <v>44525</v>
      </c>
      <c r="W814" s="95">
        <v>495</v>
      </c>
    </row>
    <row r="815" spans="1:23" ht="75" customHeight="1">
      <c r="A815" s="31">
        <v>0</v>
      </c>
      <c r="B815" s="64">
        <v>80204250585</v>
      </c>
      <c r="C815" s="21" t="s">
        <v>83</v>
      </c>
      <c r="D815" s="21" t="s">
        <v>2301</v>
      </c>
      <c r="E815" s="21" t="s">
        <v>48</v>
      </c>
      <c r="F815" s="21"/>
      <c r="G815" s="66"/>
      <c r="H815" s="64"/>
      <c r="I815" s="64"/>
      <c r="J815" s="111" t="s">
        <v>2158</v>
      </c>
      <c r="K815" s="64"/>
      <c r="L815" s="21" t="s">
        <v>2159</v>
      </c>
      <c r="M815" s="64"/>
      <c r="N815" s="66"/>
      <c r="O815" s="64"/>
      <c r="P815" s="64"/>
      <c r="Q815" s="111" t="s">
        <v>2158</v>
      </c>
      <c r="R815" s="64"/>
      <c r="S815" s="21" t="s">
        <v>2159</v>
      </c>
      <c r="T815" s="95">
        <v>495</v>
      </c>
      <c r="U815" s="112">
        <v>44525</v>
      </c>
      <c r="V815" s="112">
        <v>44525</v>
      </c>
      <c r="W815" s="95">
        <v>495</v>
      </c>
    </row>
    <row r="816" spans="1:23" ht="60" customHeight="1">
      <c r="A816" s="31">
        <v>0</v>
      </c>
      <c r="B816" s="64">
        <v>80204250585</v>
      </c>
      <c r="C816" s="21" t="s">
        <v>83</v>
      </c>
      <c r="D816" s="21" t="s">
        <v>2302</v>
      </c>
      <c r="E816" s="21" t="s">
        <v>48</v>
      </c>
      <c r="F816" s="21"/>
      <c r="G816" s="66"/>
      <c r="H816" s="64"/>
      <c r="I816" s="64"/>
      <c r="J816" s="23" t="s">
        <v>2085</v>
      </c>
      <c r="K816" s="64"/>
      <c r="L816" s="21" t="s">
        <v>2086</v>
      </c>
      <c r="M816" s="64"/>
      <c r="N816" s="66"/>
      <c r="O816" s="64"/>
      <c r="P816" s="64"/>
      <c r="Q816" s="24" t="s">
        <v>2085</v>
      </c>
      <c r="R816" s="64"/>
      <c r="S816" s="21" t="s">
        <v>2086</v>
      </c>
      <c r="T816" s="95">
        <v>900</v>
      </c>
      <c r="U816" s="71">
        <v>44530</v>
      </c>
      <c r="V816" s="71">
        <v>44530</v>
      </c>
      <c r="W816" s="95">
        <v>0</v>
      </c>
    </row>
    <row r="817" spans="1:23" ht="72" customHeight="1">
      <c r="A817" s="31">
        <v>0</v>
      </c>
      <c r="B817" s="64">
        <v>80204250585</v>
      </c>
      <c r="C817" s="21" t="s">
        <v>83</v>
      </c>
      <c r="D817" s="109" t="s">
        <v>2303</v>
      </c>
      <c r="E817" s="21" t="s">
        <v>48</v>
      </c>
      <c r="F817" s="21"/>
      <c r="G817" s="66"/>
      <c r="H817" s="64"/>
      <c r="I817" s="64"/>
      <c r="J817" s="23" t="s">
        <v>2051</v>
      </c>
      <c r="K817" s="64"/>
      <c r="L817" s="21" t="s">
        <v>2052</v>
      </c>
      <c r="M817" s="64"/>
      <c r="N817" s="66"/>
      <c r="O817" s="64"/>
      <c r="P817" s="64"/>
      <c r="Q817" s="24" t="s">
        <v>2051</v>
      </c>
      <c r="R817" s="64"/>
      <c r="S817" s="21" t="s">
        <v>2052</v>
      </c>
      <c r="T817" s="95">
        <v>220</v>
      </c>
      <c r="U817" s="71">
        <v>44530</v>
      </c>
      <c r="V817" s="71">
        <v>44530</v>
      </c>
      <c r="W817" s="95">
        <v>190</v>
      </c>
    </row>
    <row r="818" spans="1:23" ht="57.75" customHeight="1">
      <c r="A818" s="31">
        <v>0</v>
      </c>
      <c r="B818" s="64">
        <v>80204250585</v>
      </c>
      <c r="C818" s="21" t="s">
        <v>83</v>
      </c>
      <c r="D818" s="109" t="s">
        <v>2304</v>
      </c>
      <c r="E818" s="21" t="s">
        <v>48</v>
      </c>
      <c r="F818" s="21"/>
      <c r="G818" s="66"/>
      <c r="H818" s="64"/>
      <c r="I818" s="64"/>
      <c r="J818" s="23" t="s">
        <v>2051</v>
      </c>
      <c r="K818" s="64"/>
      <c r="L818" s="21" t="s">
        <v>2052</v>
      </c>
      <c r="M818" s="64"/>
      <c r="N818" s="66"/>
      <c r="O818" s="64"/>
      <c r="P818" s="64"/>
      <c r="Q818" s="24" t="s">
        <v>2051</v>
      </c>
      <c r="R818" s="64"/>
      <c r="S818" s="21" t="s">
        <v>2052</v>
      </c>
      <c r="T818" s="95">
        <v>290</v>
      </c>
      <c r="U818" s="71">
        <v>44533</v>
      </c>
      <c r="V818" s="71">
        <v>44533</v>
      </c>
      <c r="W818" s="95">
        <v>250</v>
      </c>
    </row>
    <row r="819" spans="1:23" ht="90" customHeight="1">
      <c r="A819" s="31">
        <v>0</v>
      </c>
      <c r="B819" s="64">
        <v>80204250585</v>
      </c>
      <c r="C819" s="21" t="s">
        <v>83</v>
      </c>
      <c r="D819" s="21" t="s">
        <v>2305</v>
      </c>
      <c r="E819" s="21" t="s">
        <v>48</v>
      </c>
      <c r="F819" s="21"/>
      <c r="G819" s="66"/>
      <c r="H819" s="64"/>
      <c r="I819" s="64"/>
      <c r="J819" s="23" t="s">
        <v>2225</v>
      </c>
      <c r="K819" s="64"/>
      <c r="L819" s="21" t="s">
        <v>2226</v>
      </c>
      <c r="M819" s="64"/>
      <c r="N819" s="66"/>
      <c r="O819" s="64"/>
      <c r="P819" s="64"/>
      <c r="Q819" s="23" t="s">
        <v>2225</v>
      </c>
      <c r="R819" s="64"/>
      <c r="S819" s="21" t="s">
        <v>2226</v>
      </c>
      <c r="T819" s="95">
        <v>1548</v>
      </c>
      <c r="U819" s="71">
        <v>44547</v>
      </c>
      <c r="V819" s="71">
        <v>44596</v>
      </c>
      <c r="W819" s="95">
        <v>1398</v>
      </c>
    </row>
    <row r="820" spans="1:23" ht="105" customHeight="1">
      <c r="A820" s="31">
        <v>9046036110</v>
      </c>
      <c r="B820" s="64">
        <v>80204250585</v>
      </c>
      <c r="C820" s="21" t="s">
        <v>83</v>
      </c>
      <c r="D820" s="21" t="s">
        <v>2306</v>
      </c>
      <c r="E820" s="21" t="s">
        <v>48</v>
      </c>
      <c r="F820" s="21"/>
      <c r="G820" s="66"/>
      <c r="H820" s="64"/>
      <c r="I820" s="64"/>
      <c r="J820" s="23" t="s">
        <v>933</v>
      </c>
      <c r="K820" s="64"/>
      <c r="L820" s="21" t="s">
        <v>2104</v>
      </c>
      <c r="M820" s="64"/>
      <c r="N820" s="66"/>
      <c r="O820" s="64"/>
      <c r="P820" s="64"/>
      <c r="Q820" s="24" t="s">
        <v>933</v>
      </c>
      <c r="R820" s="64"/>
      <c r="S820" s="21" t="s">
        <v>2104</v>
      </c>
      <c r="T820" s="95">
        <v>40000</v>
      </c>
      <c r="U820" s="71">
        <v>44593</v>
      </c>
      <c r="V820" s="71">
        <v>44773</v>
      </c>
      <c r="W820" s="95">
        <v>0</v>
      </c>
    </row>
    <row r="821" spans="1:23" ht="45" customHeight="1">
      <c r="A821" s="31">
        <v>0</v>
      </c>
      <c r="B821" s="64">
        <v>80204250585</v>
      </c>
      <c r="C821" s="21" t="s">
        <v>83</v>
      </c>
      <c r="D821" s="21" t="s">
        <v>2307</v>
      </c>
      <c r="E821" s="21" t="s">
        <v>48</v>
      </c>
      <c r="F821" s="21"/>
      <c r="G821" s="66"/>
      <c r="H821" s="64"/>
      <c r="I821" s="64"/>
      <c r="J821" s="23" t="s">
        <v>1931</v>
      </c>
      <c r="K821" s="64"/>
      <c r="L821" s="21" t="s">
        <v>1897</v>
      </c>
      <c r="M821" s="64"/>
      <c r="N821" s="66"/>
      <c r="O821" s="64"/>
      <c r="P821" s="64"/>
      <c r="Q821" s="23" t="s">
        <v>1931</v>
      </c>
      <c r="R821" s="64"/>
      <c r="S821" s="21" t="s">
        <v>1897</v>
      </c>
      <c r="T821" s="95">
        <v>120.78</v>
      </c>
      <c r="U821" s="71">
        <v>44531</v>
      </c>
      <c r="V821" s="71">
        <v>44561</v>
      </c>
      <c r="W821" s="95">
        <v>0</v>
      </c>
    </row>
    <row r="822" spans="1:23" ht="90" customHeight="1">
      <c r="A822" s="31" t="s">
        <v>2308</v>
      </c>
      <c r="B822" s="64">
        <v>80204250585</v>
      </c>
      <c r="C822" s="21" t="s">
        <v>83</v>
      </c>
      <c r="D822" s="21" t="s">
        <v>2309</v>
      </c>
      <c r="E822" s="21" t="s">
        <v>48</v>
      </c>
      <c r="F822" s="21"/>
      <c r="G822" s="66"/>
      <c r="H822" s="64"/>
      <c r="I822" s="64"/>
      <c r="J822" s="23" t="s">
        <v>2225</v>
      </c>
      <c r="K822" s="64"/>
      <c r="L822" s="21" t="s">
        <v>2226</v>
      </c>
      <c r="M822" s="64"/>
      <c r="N822" s="66"/>
      <c r="O822" s="64"/>
      <c r="P822" s="64"/>
      <c r="Q822" s="23" t="s">
        <v>2225</v>
      </c>
      <c r="R822" s="64"/>
      <c r="S822" s="21" t="s">
        <v>2226</v>
      </c>
      <c r="T822" s="95">
        <v>4000</v>
      </c>
      <c r="U822" s="71">
        <v>44540</v>
      </c>
      <c r="V822" s="71">
        <v>44543</v>
      </c>
      <c r="W822" s="95">
        <v>0</v>
      </c>
    </row>
    <row r="823" spans="1:23" ht="60" customHeight="1">
      <c r="A823" s="31">
        <v>0</v>
      </c>
      <c r="B823" s="64">
        <v>80204250585</v>
      </c>
      <c r="C823" s="21" t="s">
        <v>83</v>
      </c>
      <c r="D823" s="21" t="s">
        <v>2310</v>
      </c>
      <c r="E823" s="21" t="s">
        <v>48</v>
      </c>
      <c r="F823" s="21"/>
      <c r="G823" s="66"/>
      <c r="H823" s="64"/>
      <c r="I823" s="64"/>
      <c r="J823" s="23" t="s">
        <v>2085</v>
      </c>
      <c r="K823" s="64"/>
      <c r="L823" s="21" t="s">
        <v>2086</v>
      </c>
      <c r="M823" s="64"/>
      <c r="N823" s="66"/>
      <c r="O823" s="64"/>
      <c r="P823" s="64"/>
      <c r="Q823" s="24" t="s">
        <v>2085</v>
      </c>
      <c r="R823" s="64"/>
      <c r="S823" s="21" t="s">
        <v>2086</v>
      </c>
      <c r="T823" s="95">
        <v>552</v>
      </c>
      <c r="U823" s="71">
        <v>44574</v>
      </c>
      <c r="V823" s="71">
        <v>44574</v>
      </c>
      <c r="W823" s="95">
        <v>0</v>
      </c>
    </row>
    <row r="824" spans="1:23" ht="60" customHeight="1">
      <c r="A824" s="31">
        <v>0</v>
      </c>
      <c r="B824" s="64">
        <v>80204250585</v>
      </c>
      <c r="C824" s="21" t="s">
        <v>83</v>
      </c>
      <c r="D824" s="21" t="s">
        <v>2310</v>
      </c>
      <c r="E824" s="21" t="s">
        <v>48</v>
      </c>
      <c r="F824" s="21"/>
      <c r="G824" s="66"/>
      <c r="H824" s="64"/>
      <c r="I824" s="64"/>
      <c r="J824" s="23" t="s">
        <v>2085</v>
      </c>
      <c r="K824" s="64"/>
      <c r="L824" s="21" t="s">
        <v>2086</v>
      </c>
      <c r="M824" s="64"/>
      <c r="N824" s="66"/>
      <c r="O824" s="64"/>
      <c r="P824" s="64"/>
      <c r="Q824" s="24" t="s">
        <v>2085</v>
      </c>
      <c r="R824" s="64"/>
      <c r="S824" s="21" t="s">
        <v>2086</v>
      </c>
      <c r="T824" s="95">
        <v>552</v>
      </c>
      <c r="U824" s="71">
        <v>44574</v>
      </c>
      <c r="V824" s="71">
        <v>44574</v>
      </c>
      <c r="W824" s="95">
        <v>0</v>
      </c>
    </row>
    <row r="825" spans="1:23" ht="60" customHeight="1">
      <c r="A825" s="31">
        <v>0</v>
      </c>
      <c r="B825" s="64">
        <v>80204250585</v>
      </c>
      <c r="C825" s="21" t="s">
        <v>83</v>
      </c>
      <c r="D825" s="21" t="s">
        <v>2310</v>
      </c>
      <c r="E825" s="21" t="s">
        <v>48</v>
      </c>
      <c r="F825" s="21"/>
      <c r="G825" s="66"/>
      <c r="H825" s="64"/>
      <c r="I825" s="64"/>
      <c r="J825" s="23" t="s">
        <v>2085</v>
      </c>
      <c r="K825" s="64"/>
      <c r="L825" s="21" t="s">
        <v>2086</v>
      </c>
      <c r="M825" s="64"/>
      <c r="N825" s="66"/>
      <c r="O825" s="64"/>
      <c r="P825" s="64"/>
      <c r="Q825" s="24" t="s">
        <v>2085</v>
      </c>
      <c r="R825" s="64"/>
      <c r="S825" s="21" t="s">
        <v>2086</v>
      </c>
      <c r="T825" s="95">
        <v>552</v>
      </c>
      <c r="U825" s="71">
        <v>44574</v>
      </c>
      <c r="V825" s="71">
        <v>44574</v>
      </c>
      <c r="W825" s="95">
        <v>0</v>
      </c>
    </row>
    <row r="826" spans="1:23" ht="60" customHeight="1">
      <c r="A826" s="31">
        <v>0</v>
      </c>
      <c r="B826" s="64">
        <v>80204250585</v>
      </c>
      <c r="C826" s="21" t="s">
        <v>83</v>
      </c>
      <c r="D826" s="21" t="s">
        <v>2310</v>
      </c>
      <c r="E826" s="21" t="s">
        <v>48</v>
      </c>
      <c r="F826" s="21"/>
      <c r="G826" s="66"/>
      <c r="H826" s="64"/>
      <c r="I826" s="64"/>
      <c r="J826" s="23" t="s">
        <v>2085</v>
      </c>
      <c r="K826" s="64"/>
      <c r="L826" s="21" t="s">
        <v>2086</v>
      </c>
      <c r="M826" s="64"/>
      <c r="N826" s="66"/>
      <c r="O826" s="64"/>
      <c r="P826" s="64"/>
      <c r="Q826" s="24" t="s">
        <v>2085</v>
      </c>
      <c r="R826" s="64"/>
      <c r="S826" s="21" t="s">
        <v>2086</v>
      </c>
      <c r="T826" s="95">
        <v>552</v>
      </c>
      <c r="U826" s="71">
        <v>44574</v>
      </c>
      <c r="V826" s="71">
        <v>44574</v>
      </c>
      <c r="W826" s="95">
        <v>0</v>
      </c>
    </row>
  </sheetData>
  <autoFilter ref="A14:W826"/>
  <dataConsolidate/>
  <mergeCells count="7">
    <mergeCell ref="F12:L12"/>
    <mergeCell ref="M12:S12"/>
    <mergeCell ref="J13:L13"/>
    <mergeCell ref="U13:V13"/>
    <mergeCell ref="F13:I13"/>
    <mergeCell ref="M13:P13"/>
    <mergeCell ref="Q13:S13"/>
  </mergeCells>
  <dataValidations count="3">
    <dataValidation type="textLength" operator="lessThanOrEqual" allowBlank="1" showInputMessage="1" showErrorMessage="1" sqref="D242 D251 D256 D228:D239 D253:D254 D258 D575">
      <formula1>249</formula1>
    </dataValidation>
    <dataValidation type="textLength" allowBlank="1" showInputMessage="1" showErrorMessage="1" error="lunghezza massima consentita 10 caratteri" sqref="A227 A240:A241 A252 A255 A257 A331:A333 A372:A374 A376:A377 A201:A225 A279:A282 A329 A243:A250 A15:A199 A496 A532:A537 A541:A550 A560:A568 A570:A593 A552:A557 A498:A528 A614:A701 A703:A723 A726 A728:A760 A765:A783 A804:A826 A785:A802">
      <formula1>0</formula1>
      <formula2>10</formula2>
    </dataValidation>
    <dataValidation type="textLength" operator="lessThanOrEqual" allowBlank="1" showInputMessage="1" showErrorMessage="1" error="lunghezza massima consentita 250 caratteri" sqref="D240:D241 D252 D255 D257 D331:D333 D372:D374 D376:D377 D201:D220 D222:D227 D279:D282 D329 D243:D250 D15:D199 D532:D537 D541:D551 D560:D563 D565:D574 D554:D557 D496:D527 D599 D601:D607 D576:D593 D705:D706 D677 D683 D687 D694:D696 D698:D699 D715:D717 D721:D729 D731:D732 D737:D786 D614:D671 D712 D788:D792 D807:D816 D819:D826 D794:D804">
      <formula1>249</formula1>
    </dataValidation>
  </dataValidations>
  <hyperlinks>
    <hyperlink ref="A702" r:id="rId1" display="https://smartcig.anticorruzione.it/AVCP-SmartCig/preparaDettaglioComunicazioneOS.action?codDettaglioCarnet=47614256"/>
    <hyperlink ref="A784" r:id="rId2" display="https://smartcig.anticorruzione.it/AVCP-SmartCig/preparaDettaglioComunicazioneOS.action?codDettaglioCarnet=51910617"/>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valori!$A$1:$A$28</xm:f>
          </x14:formula1>
          <xm:sqref>E290:E296 E298:E301 E303:E318 E322:E328 E444 E15:E76 E485 E78:E198 E201:E288 E380:E399 E401:E415 E464:E466 E440:E441 E446:E462 E469 E473:E483 E487:E492 E495 E564 E417:E420 E423:E434 E333:E370</xm:sqref>
        </x14:dataValidation>
        <x14:dataValidation type="list" allowBlank="1" showInputMessage="1" showErrorMessage="1">
          <x14:formula1>
            <xm:f>'C:\Users\savastan\Documents\DAM\AMR\Elenchi contratti ufficio\Dataset appalti\2020\Dicembre 2020\AMM\[Dataset AMM al 31 dicembre 2020.xlsx]valori'!#REF!</xm:f>
          </x14:formula1>
          <xm:sqref>E297 E302 E329:E332</xm:sqref>
        </x14:dataValidation>
        <x14:dataValidation type="list" allowBlank="1" showInputMessage="1" showErrorMessage="1">
          <x14:formula1>
            <xm:f>'C:\Users\savastan\Documents\DAM\AMR\Elenchi contratti ufficio\Dataset appalti\2021\Marzo 2021\AMM\[Dataset AMM al 31 marzo 2021.xlsx]valori'!#REF!</xm:f>
          </x14:formula1>
          <xm:sqref>E371:E379</xm:sqref>
        </x14:dataValidation>
        <x14:dataValidation type="list" allowBlank="1" showInputMessage="1" showErrorMessage="1">
          <x14:formula1>
            <xm:f>'C:\Users\savastan\Documents\DAM\AMR\Elenchi contratti ufficio\Dataset appalti\2020\Dicembre 2020\[DATASET_ANAC_2020_dati al 31122020.xlsx]valori'!#REF!</xm:f>
          </x14:formula1>
          <xm:sqref>E199:E200</xm:sqref>
        </x14:dataValidation>
        <x14:dataValidation type="list" allowBlank="1" showInputMessage="1" showErrorMessage="1">
          <x14:formula1>
            <xm:f>'C:\Users\savastan\Documents\DAM\AMR\Elenchi contratti ufficio\Dataset appalti\2021\Settembre 2021\AMM\[Dataset AMM al 30 settembre 2021 RIPARTITO.xlsx]Valori'!#REF!</xm:f>
          </x14:formula1>
          <xm:sqref>E435</xm:sqref>
        </x14:dataValidation>
        <x14:dataValidation type="list" allowBlank="1" showInputMessage="1" showErrorMessage="1">
          <x14:formula1>
            <xm:f>'F:\DAM\AMM\Trasparenza e anticorruzione\DATASET (Elenchi contratti)\Dataset CORRENTE\[Dataset AMM al 30 giugno 2021 RIPARTITO.xlsx]Valori'!#REF!</xm:f>
          </x14:formula1>
          <xm:sqref>E437:E439</xm:sqref>
        </x14:dataValidation>
        <x14:dataValidation type="list" allowBlank="1" showInputMessage="1" showErrorMessage="1">
          <x14:formula1>
            <xm:f>'C:\Users\savastan\Documents\DAM\AMR\Elenchi contratti ufficio\Dataset appalti\2020\Dicembre 2020\[DATASET_ANAC_2020_dati al 31122020_lavorato 29012021.xlsx]valori'!#REF!</xm:f>
          </x14:formula1>
          <xm:sqref>E77</xm:sqref>
        </x14:dataValidation>
        <x14:dataValidation type="list" allowBlank="1" showInputMessage="1" showErrorMessage="1">
          <x14:formula1>
            <xm:f>'C:\Users\savastan\Documents\DAM\AMR\Elenchi contratti ufficio\Dataset appalti\2021\Dicembre 2021\Inviati a AMM, BIB e GRU\[Dataset AMM al 31 dicembre 2021 RIPARTITO.xlsx]Valori'!#REF!</xm:f>
          </x14:formula1>
          <xm:sqref>E471 E467:E468 E486 E493:E494 E442 E445 E553:E563 E565:E575 E496:E551</xm:sqref>
        </x14:dataValidation>
        <x14:dataValidation type="list" allowBlank="1" showInputMessage="1" showErrorMessage="1">
          <x14:formula1>
            <xm:f>'C:\Users\savastan\Documents\DAM\AMR\Elenchi contratti ufficio\Dataset appalti\2021\Marzo 2021\BIB\[DATASET_ANAC_2020_dati al 31032021_BIB_da pubblicare.xlsx]valori'!#REF!</xm:f>
          </x14:formula1>
          <xm:sqref>E599:E600 E602:E603</xm:sqref>
        </x14:dataValidation>
        <x14:dataValidation type="list" allowBlank="1" showInputMessage="1" showErrorMessage="1">
          <x14:formula1>
            <xm:f>'C:\Users\savastan\Documents\DAM\AMR\Elenchi contratti ufficio\Dataset appalti\2020\Dicembre 2020\BIB\[Copia di Riepilogo dei contratti  anno 2020  al 30092020_BIB aggiornato.xlsx]valori'!#REF!</xm:f>
          </x14:formula1>
          <xm:sqref>E601 E576:E598 E604:E613</xm:sqref>
        </x14:dataValidation>
        <x14:dataValidation type="list" allowBlank="1" showInputMessage="1" showErrorMessage="1">
          <x14:formula1>
            <xm:f>'C:\Users\savastan\Documents\DAM\AMR\Elenchi contratti ufficio\Dataset appalti\2021\Marzo 2021\GRU\[dataset al 31032021_dati omogenei.xlsx]valori'!#REF!</xm:f>
          </x14:formula1>
          <xm:sqref>E614:E809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election activeCell="A23" sqref="A23"/>
    </sheetView>
  </sheetViews>
  <sheetFormatPr defaultRowHeight="15"/>
  <cols>
    <col min="1" max="1" width="120" customWidth="1"/>
    <col min="2" max="2" width="74" bestFit="1" customWidth="1"/>
    <col min="3" max="3" width="58.85546875" bestFit="1" customWidth="1"/>
  </cols>
  <sheetData>
    <row r="1" spans="1:2">
      <c r="A1" t="s">
        <v>36</v>
      </c>
      <c r="B1" t="s">
        <v>77</v>
      </c>
    </row>
    <row r="2" spans="1:2">
      <c r="A2" t="s">
        <v>37</v>
      </c>
    </row>
    <row r="3" spans="1:2">
      <c r="A3" t="s">
        <v>38</v>
      </c>
      <c r="B3" s="2" t="s">
        <v>78</v>
      </c>
    </row>
    <row r="4" spans="1:2">
      <c r="A4" t="s">
        <v>39</v>
      </c>
      <c r="B4" s="2" t="s">
        <v>79</v>
      </c>
    </row>
    <row r="5" spans="1:2">
      <c r="A5" t="s">
        <v>40</v>
      </c>
    </row>
    <row r="6" spans="1:2">
      <c r="A6" t="s">
        <v>41</v>
      </c>
    </row>
    <row r="7" spans="1:2">
      <c r="A7" t="s">
        <v>42</v>
      </c>
    </row>
    <row r="8" spans="1:2">
      <c r="A8" t="s">
        <v>43</v>
      </c>
      <c r="B8" t="s">
        <v>80</v>
      </c>
    </row>
    <row r="9" spans="1:2">
      <c r="A9" t="s">
        <v>44</v>
      </c>
    </row>
    <row r="10" spans="1:2">
      <c r="A10" t="s">
        <v>45</v>
      </c>
    </row>
    <row r="11" spans="1:2">
      <c r="A11" t="s">
        <v>46</v>
      </c>
    </row>
    <row r="12" spans="1:2">
      <c r="A12" t="s">
        <v>47</v>
      </c>
    </row>
    <row r="13" spans="1:2">
      <c r="A13" t="s">
        <v>48</v>
      </c>
      <c r="B13" t="s">
        <v>81</v>
      </c>
    </row>
    <row r="14" spans="1:2">
      <c r="A14" t="s">
        <v>49</v>
      </c>
    </row>
    <row r="15" spans="1:2">
      <c r="A15" t="s">
        <v>50</v>
      </c>
    </row>
    <row r="16" spans="1:2">
      <c r="A16" t="s">
        <v>51</v>
      </c>
      <c r="B16" t="s">
        <v>82</v>
      </c>
    </row>
    <row r="17" spans="1:2">
      <c r="A17" t="s">
        <v>52</v>
      </c>
    </row>
    <row r="18" spans="1:2">
      <c r="A18" t="s">
        <v>53</v>
      </c>
    </row>
    <row r="19" spans="1:2">
      <c r="A19" t="s">
        <v>54</v>
      </c>
    </row>
    <row r="20" spans="1:2">
      <c r="A20" t="s">
        <v>55</v>
      </c>
    </row>
    <row r="21" spans="1:2">
      <c r="A21" t="s">
        <v>56</v>
      </c>
    </row>
    <row r="22" spans="1:2">
      <c r="A22" t="s">
        <v>57</v>
      </c>
    </row>
    <row r="23" spans="1:2">
      <c r="A23" t="s">
        <v>58</v>
      </c>
      <c r="B23" t="s">
        <v>58</v>
      </c>
    </row>
    <row r="24" spans="1:2">
      <c r="A24" t="s">
        <v>59</v>
      </c>
    </row>
    <row r="25" spans="1:2">
      <c r="A25" t="s">
        <v>60</v>
      </c>
    </row>
    <row r="26" spans="1:2">
      <c r="A26" t="s">
        <v>61</v>
      </c>
    </row>
    <row r="27" spans="1:2">
      <c r="A27" t="s">
        <v>62</v>
      </c>
    </row>
    <row r="28" spans="1:2">
      <c r="A28" t="s">
        <v>63</v>
      </c>
    </row>
    <row r="32" spans="1:2">
      <c r="A32" s="1"/>
    </row>
    <row r="38" spans="1:1">
      <c r="A38" t="s">
        <v>64</v>
      </c>
    </row>
    <row r="39" spans="1:1">
      <c r="A39" t="s">
        <v>65</v>
      </c>
    </row>
    <row r="40" spans="1:1">
      <c r="A40" t="s">
        <v>66</v>
      </c>
    </row>
    <row r="41" spans="1:1">
      <c r="A41" t="s">
        <v>67</v>
      </c>
    </row>
    <row r="42" spans="1:1">
      <c r="A42" t="s">
        <v>68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Campolucci</dc:creator>
  <cp:lastModifiedBy>Savastano, Francesca</cp:lastModifiedBy>
  <dcterms:created xsi:type="dcterms:W3CDTF">2020-01-21T08:44:13Z</dcterms:created>
  <dcterms:modified xsi:type="dcterms:W3CDTF">2022-01-31T12:01:01Z</dcterms:modified>
</cp:coreProperties>
</file>