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saveExternalLinkValues="0" defaultThemeVersion="166925"/>
  <mc:AlternateContent xmlns:mc="http://schemas.openxmlformats.org/markup-compatibility/2006">
    <mc:Choice Requires="x15">
      <x15ac:absPath xmlns:x15ac="http://schemas.microsoft.com/office/spreadsheetml/2010/11/ac" url="C:\Users\savastan\Documents\DAM\AMR\Elenchi contratti ufficio\Dataset appalti\2023\Settembre 2023\LAST\"/>
    </mc:Choice>
  </mc:AlternateContent>
  <xr:revisionPtr revIDLastSave="0" documentId="13_ncr:1_{BF3BEC3B-A21F-4C70-87A8-E1D08B189033}" xr6:coauthVersionLast="47" xr6:coauthVersionMax="47" xr10:uidLastSave="{00000000-0000-0000-0000-000000000000}"/>
  <bookViews>
    <workbookView xWindow="-120" yWindow="-120" windowWidth="20730" windowHeight="11160" tabRatio="138" xr2:uid="{5F5EAA3B-8B6A-45B9-88FF-79EFADCCD6B8}"/>
  </bookViews>
  <sheets>
    <sheet name="Foglio1" sheetId="1" r:id="rId1"/>
    <sheet name="Valori" sheetId="2" r:id="rId2"/>
  </sheets>
  <definedNames>
    <definedName name="_xlnm._FilterDatabase" localSheetId="0" hidden="1">Foglio1!$A$12:$AD$574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W494" i="1" l="1"/>
  <c r="W251" i="1"/>
  <c r="W164" i="1"/>
  <c r="W270" i="1"/>
  <c r="W414" i="1"/>
  <c r="W434" i="1"/>
  <c r="W413" i="1"/>
  <c r="W412" i="1"/>
  <c r="W425" i="1"/>
  <c r="W266" i="1"/>
  <c r="W236" i="1"/>
  <c r="W157" i="1"/>
  <c r="W576" i="1"/>
  <c r="W601" i="1"/>
  <c r="W714" i="1"/>
  <c r="W705" i="1"/>
  <c r="W704" i="1"/>
  <c r="W702" i="1"/>
  <c r="W701" i="1"/>
  <c r="W671" i="1"/>
  <c r="T583" i="1" l="1"/>
  <c r="W436" i="1"/>
  <c r="W519" i="1"/>
  <c r="W295" i="1"/>
  <c r="W296" i="1"/>
  <c r="W437" i="1"/>
  <c r="W386" i="1"/>
  <c r="W546" i="1"/>
  <c r="W516" i="1"/>
  <c r="W416" i="1"/>
  <c r="W417" i="1"/>
  <c r="W318" i="1"/>
  <c r="W401" i="1"/>
  <c r="W447" i="1"/>
  <c r="W541" i="1"/>
  <c r="W285" i="1"/>
  <c r="W222" i="1"/>
  <c r="W248" i="1"/>
  <c r="W264" i="1"/>
  <c r="W169" i="1"/>
  <c r="W209" i="1"/>
  <c r="W485" i="1"/>
  <c r="W486" i="1"/>
  <c r="W433" i="1"/>
  <c r="W558" i="1"/>
  <c r="W523" i="1"/>
  <c r="W432" i="1"/>
  <c r="W364" i="1"/>
  <c r="W430" i="1"/>
  <c r="W220" i="1"/>
  <c r="W458" i="1"/>
  <c r="W428" i="1"/>
  <c r="W411" i="1"/>
  <c r="W429" i="1"/>
  <c r="W426" i="1"/>
  <c r="W422" i="1"/>
  <c r="W263" i="1"/>
  <c r="W323" i="1"/>
  <c r="W473" i="1"/>
  <c r="W440" i="1"/>
  <c r="W354" i="1"/>
  <c r="W196" i="1"/>
  <c r="W203" i="1"/>
  <c r="W297" i="1"/>
  <c r="W534" i="1"/>
  <c r="W344" i="1" l="1"/>
  <c r="W482" i="1"/>
  <c r="W239" i="1"/>
  <c r="W500" i="1"/>
  <c r="W252" i="1"/>
  <c r="W159" i="1"/>
  <c r="W282" i="1"/>
  <c r="W332" i="1"/>
  <c r="W146" i="1"/>
  <c r="W385" i="1"/>
  <c r="W174" i="1"/>
  <c r="W253" i="1"/>
  <c r="W18" i="1"/>
  <c r="T266" i="1" l="1"/>
  <c r="W105" i="1"/>
  <c r="W298" i="1"/>
  <c r="W299" i="1"/>
  <c r="W274" i="1"/>
  <c r="W269" i="1"/>
  <c r="W176" i="1"/>
  <c r="W175" i="1"/>
  <c r="W179" i="1" l="1"/>
  <c r="W371" i="1"/>
  <c r="W294" i="1"/>
  <c r="W244" i="1"/>
  <c r="W254" i="1"/>
  <c r="W350" i="1"/>
  <c r="W31" i="1"/>
  <c r="W44" i="1"/>
  <c r="W32" i="1"/>
  <c r="W382" i="1"/>
  <c r="W328" i="1"/>
  <c r="W120" i="1"/>
  <c r="W456" i="1"/>
  <c r="W308" i="1"/>
  <c r="W310" i="1"/>
  <c r="W311" i="1"/>
  <c r="W366" i="1"/>
  <c r="W339" i="1"/>
  <c r="W383" i="1"/>
  <c r="W378" i="1"/>
  <c r="W184" i="1"/>
  <c r="W147" i="1"/>
  <c r="W324" i="1"/>
  <c r="W286" i="1"/>
  <c r="W226" i="1"/>
  <c r="W312" i="1"/>
  <c r="W309" i="1"/>
  <c r="W301" i="1"/>
  <c r="W300" i="1"/>
  <c r="T56" i="1"/>
  <c r="W34" i="1" l="1"/>
  <c r="W316" i="1" l="1"/>
  <c r="W156" i="1"/>
  <c r="W314" i="1"/>
  <c r="W303" i="1"/>
  <c r="W302" i="1"/>
  <c r="W322" i="1"/>
  <c r="W235" i="1"/>
  <c r="W194" i="1"/>
  <c r="W24" i="1"/>
  <c r="W340" i="1"/>
  <c r="W313" i="1"/>
  <c r="W273" i="1"/>
  <c r="W238" i="1"/>
  <c r="W206" i="1"/>
  <c r="T120" i="1"/>
  <c r="W315" i="1"/>
  <c r="W356" i="1" l="1"/>
  <c r="W290" i="1"/>
  <c r="W283" i="1"/>
  <c r="W172" i="1"/>
  <c r="W346" i="1"/>
  <c r="W173" i="1"/>
  <c r="W201" i="1"/>
  <c r="W370" i="1" l="1"/>
  <c r="W214" i="1"/>
  <c r="W337" i="1"/>
  <c r="W338" i="1"/>
  <c r="W193" i="1"/>
  <c r="W320" i="1"/>
  <c r="W374" i="1"/>
  <c r="W369" i="1"/>
  <c r="W257" i="1"/>
  <c r="W256" i="1"/>
  <c r="W25" i="1"/>
  <c r="W250" i="1"/>
  <c r="W277" i="1"/>
  <c r="W357" i="1"/>
  <c r="W355" i="1"/>
  <c r="W348" i="1"/>
  <c r="W359" i="1"/>
</calcChain>
</file>

<file path=xl/sharedStrings.xml><?xml version="1.0" encoding="utf-8"?>
<sst xmlns="http://schemas.openxmlformats.org/spreadsheetml/2006/main" count="7722" uniqueCount="2597">
  <si>
    <t>titolo</t>
  </si>
  <si>
    <t>Adempimenti ai sensi dell'articolo 1, comma 32 della legge n. 190/2012</t>
  </si>
  <si>
    <t>abstract</t>
  </si>
  <si>
    <t>dataPubblicazioneDataset</t>
  </si>
  <si>
    <t>entePubblicatore</t>
  </si>
  <si>
    <t>CONSOB - Commissione Nazionale per le Società e la Borsa</t>
  </si>
  <si>
    <t>dataUltimoAggiornamentoDataset</t>
  </si>
  <si>
    <t>annoRiferimento</t>
  </si>
  <si>
    <t>urlFile</t>
  </si>
  <si>
    <t>http://www.consob.it/it/web/area-pubblica/dataset-appalti</t>
  </si>
  <si>
    <t>licenza</t>
  </si>
  <si>
    <t>IODL</t>
  </si>
  <si>
    <t>PARTECIPANTI</t>
  </si>
  <si>
    <t>AGGIUDICATARI</t>
  </si>
  <si>
    <t>CIG</t>
  </si>
  <si>
    <t>Struttura proponente</t>
  </si>
  <si>
    <t>Oggetto</t>
  </si>
  <si>
    <t>SceltaContraente</t>
  </si>
  <si>
    <t>Raggruppamento</t>
  </si>
  <si>
    <t>Partecipante</t>
  </si>
  <si>
    <t>aggiudicatarioRaggruppamento</t>
  </si>
  <si>
    <t>Aggiudicatario</t>
  </si>
  <si>
    <t>Importo Aggiudicazione</t>
  </si>
  <si>
    <t>tempiCompletamento</t>
  </si>
  <si>
    <t>Importo Somme Liquidate</t>
  </si>
  <si>
    <t>cig</t>
  </si>
  <si>
    <t>codiceFiscaleProp</t>
  </si>
  <si>
    <t>denominazione</t>
  </si>
  <si>
    <t>oggetto</t>
  </si>
  <si>
    <t>sceltaContraente</t>
  </si>
  <si>
    <t>codiceFiscale</t>
  </si>
  <si>
    <t>identificativoFiscaleEstero</t>
  </si>
  <si>
    <t>ragioneSociale</t>
  </si>
  <si>
    <t>ruolo</t>
  </si>
  <si>
    <t>codiceFiscale2</t>
  </si>
  <si>
    <t>identificativoFiscaleEstero3</t>
  </si>
  <si>
    <t>ragioneSociale3</t>
  </si>
  <si>
    <t>codiceFiscale3</t>
  </si>
  <si>
    <t>identificativoFiscaleEstero4</t>
  </si>
  <si>
    <t>ragioneSociale5</t>
  </si>
  <si>
    <t>ruolo6</t>
  </si>
  <si>
    <t>codiceFiscale7</t>
  </si>
  <si>
    <t>identificativoFiscaleEstero2</t>
  </si>
  <si>
    <t>ragioneSociale8</t>
  </si>
  <si>
    <t>importoAggiudicazione</t>
  </si>
  <si>
    <t>dataInizio</t>
  </si>
  <si>
    <t>dataUltimazione</t>
  </si>
  <si>
    <t>importoSommeLiquidate</t>
  </si>
  <si>
    <t>Consob - Divisione Amministrazione</t>
  </si>
  <si>
    <t xml:space="preserve">Servizio di manutenzione apparati di rete </t>
  </si>
  <si>
    <t>26-AFFIDAMENTO DIRETTO IN ADESIONE AD ACCORDO QUADRO/CONVENZIONE</t>
  </si>
  <si>
    <t>00488410010</t>
  </si>
  <si>
    <t>Telecom Italia S.p.A.</t>
  </si>
  <si>
    <t xml:space="preserve">Convenzione per l'accesso all'archivio dei rapporti finanziari </t>
  </si>
  <si>
    <t>04-PROCEDURA NEGOZIATA SENZA PREVIA PUBBLICAZIONE</t>
  </si>
  <si>
    <t>06363391001</t>
  </si>
  <si>
    <t>Agenzia delle Entrate</t>
  </si>
  <si>
    <t>552844484E</t>
  </si>
  <si>
    <t>Servizio di manutenzione apparati di rete sede di Roma e di Milano</t>
  </si>
  <si>
    <t>02298700010</t>
  </si>
  <si>
    <t>OLIVETTI SPA</t>
  </si>
  <si>
    <t>5773907AC7</t>
  </si>
  <si>
    <t>Gara per l'affidamento del servizio di  vigilanza armata della sede di Roma della Consob</t>
  </si>
  <si>
    <t>01-PROCEDURA APERTA</t>
  </si>
  <si>
    <t>12748521007*07506750582</t>
  </si>
  <si>
    <t>CSM Global Security Service s.r.l. * Sipro Sicurezza Professionale s.r.l.</t>
  </si>
  <si>
    <t>01-MANDANTE*02-MANDATARIA</t>
  </si>
  <si>
    <t>00818630188*07756851007*03707541003*11970841000*03941281002*08720161002*10169951000*04995770585*05800441007*07456011001*02644430825*02652960580*04607470582*10368351002*07897711003*09020721008*07147091008*</t>
  </si>
  <si>
    <t>10169951000</t>
  </si>
  <si>
    <t>International Security Service Vigilanza s.p.a.</t>
  </si>
  <si>
    <t>60734609BC</t>
  </si>
  <si>
    <t>Adesione alla convenzione Consip "fotocopiatrici 23" per il noleggio di 43 fotocopiatrici multifunzione per la sede di Roma</t>
  </si>
  <si>
    <t>Olivetti S.p.A.</t>
  </si>
  <si>
    <t>5493702A4C</t>
  </si>
  <si>
    <t>Servizi di sviluppo, manutenzione e gestione del Sistema informativo della CONSOB. Scadenza prorogata al 30 giugno 2020 - prorogata fino al 31 ottobre 2020</t>
  </si>
  <si>
    <t>00282140029-02937770960-03351210756-00709092583</t>
  </si>
  <si>
    <t>HP Enterprise Services Italia S.r.l. - Multivendor Service S.r.l. - Links Management and Technology S.p.A.- Open System S.r.l.</t>
  </si>
  <si>
    <t>02-MANDATARIA - 01 MANDANTE - 01 MANDANTE - 01 MANDANTE</t>
  </si>
  <si>
    <t>01924961004</t>
  </si>
  <si>
    <t>6878477AC7</t>
  </si>
  <si>
    <t>Acquisizione componenti hardware e software necessarie a realizzare una infrastruttura Wi-Fi presso le sedi Consob di Roma e Milano</t>
  </si>
  <si>
    <t>6845654C61</t>
  </si>
  <si>
    <t>Fornitura di tre server Oracle, con relativa manutenzione triennale</t>
  </si>
  <si>
    <t>08-AFFIDAMENTO IN ECONOMIA - COTTIMO FIDUCIARIO</t>
  </si>
  <si>
    <t>11265511003*10892451005*11673301005*02824320176*12138740159</t>
  </si>
  <si>
    <t>ADVANCED &amp; INNOVATIVE TECHNOLOGY SYSTEMS SRL*CAPRIOLI SOLUTIONS SRL*GWAY SRL*LUTECH SPA*PLUG-IN SRL</t>
  </si>
  <si>
    <t>11673301005</t>
  </si>
  <si>
    <t>GWAY SRL</t>
  </si>
  <si>
    <t>04472901000</t>
  </si>
  <si>
    <t xml:space="preserve">Converge S.p.A. </t>
  </si>
  <si>
    <t xml:space="preserve"> 7090456D61</t>
  </si>
  <si>
    <t>Servizio di Internet Service Provider (connettività) nell’ambito del contratto esecutivo del Contratto Quadro OPA (SPC2) + Acquisizione canale comunicazione a 10 Gbps per collegamento informatico sedi (dal 10/9/2019)</t>
  </si>
  <si>
    <t>Fastweb spa</t>
  </si>
  <si>
    <t>71184445D1</t>
  </si>
  <si>
    <t>Servizi di "Facility Management" per l'edificio di via G. B. Martini n. 3 sede della Consob in Roma - Contratto-ponte</t>
  </si>
  <si>
    <t>07124210019</t>
  </si>
  <si>
    <t>MANITAL S.C.P.A.</t>
  </si>
  <si>
    <t>7134765256</t>
  </si>
  <si>
    <t xml:space="preserve">Appalto Specifico ID 1631356 per la fornitura, installazione e configurazione di un sistema ingegnerizzato  Oracle Supercluster M7 – Small Config  SDAPA (ID 1744). (data fine connessa a ultimazione collaudo)    </t>
  </si>
  <si>
    <t>05380651009*00488410010</t>
  </si>
  <si>
    <t>Kay Sistems Italia S.r.l.* Telecom Italia S.p.A.</t>
  </si>
  <si>
    <t>05380651009</t>
  </si>
  <si>
    <t>Kay Sistems Italia S.r.l.</t>
  </si>
  <si>
    <t>7380605BE9</t>
  </si>
  <si>
    <t>Fornitura di buoni pasto elettronici per la sede Consob di Roma mediante adesione alla convenzione Consip 'Buoni pasto elettronici 1', lotto 3</t>
  </si>
  <si>
    <t>03543000370</t>
  </si>
  <si>
    <t>Day Ristoservice spa</t>
  </si>
  <si>
    <t>Servizi per la gestione integrata della salute e della sicurezza sui luoghi di lavoro presso la sede di Roma (contratto "ponte")</t>
  </si>
  <si>
    <t>23-AFFIDAMENTO DIRETTO</t>
  </si>
  <si>
    <t>03533961003</t>
  </si>
  <si>
    <t>Sintesi spa</t>
  </si>
  <si>
    <t>Gruppo Illiria spa</t>
  </si>
  <si>
    <t>Z842477CBC</t>
  </si>
  <si>
    <t>7567685B36</t>
  </si>
  <si>
    <t>Fornitura di apparati di storage con relativi software, componenti accessorie e servizi complementari per la sede Consob di Milano</t>
  </si>
  <si>
    <t>07795480586*04472901000*00929440592*05032840968*03878640238</t>
  </si>
  <si>
    <t>Atlantica Sistemi spa*Converge spa*Infordata spa*Maticmind spa*Virtual Logic srl</t>
  </si>
  <si>
    <t>Z3A264BB42</t>
  </si>
  <si>
    <t>Fornitura di componenti accessori "Fortinet" per la sede di Roma</t>
  </si>
  <si>
    <t>77271852C9</t>
  </si>
  <si>
    <t>Apparati di rete e servizi complementari per le sedi Consob di Roma e di Milano (convenz. Consip "Reti locali 6", lotto 1)</t>
  </si>
  <si>
    <t>7779388A0E</t>
  </si>
  <si>
    <t>Servizi di telefonia fissa per le sedi Consob di Roma e Milano (conv. Consip 'Telefonia fissa 5', lotto unico) - scadenza al 2/10/21  prorogata fino al 02/10/2022</t>
  </si>
  <si>
    <t>12878470157</t>
  </si>
  <si>
    <t>FASTWEB SPA</t>
  </si>
  <si>
    <t>74231977F2</t>
  </si>
  <si>
    <t xml:space="preserve">  Lotto 2 “Copertura assicurativa dei rischi di morte ed invalidità permanente per il personale della Consob" della Procedura aperta  comunitaria per l’affidamento di servizi assicurativi per Consob e AGCM (SA AGCM) Cig gara 7144185FF3</t>
  </si>
  <si>
    <t>13733431004*07066630638* 00409920584*00411140585</t>
  </si>
  <si>
    <t>Elips Life Ltd*Poste Vita spa*Generali Italia spa*Groupama</t>
  </si>
  <si>
    <t>13733431004</t>
  </si>
  <si>
    <t>Elips Life Ltd</t>
  </si>
  <si>
    <t>ZB6216EF15</t>
  </si>
  <si>
    <t>Acquisizione dei servizi “Nominativi e Società Antiriciclaggio” e “Liste PIL” della banca dati “Compliance Daily Control”  per l'anno 2018</t>
  </si>
  <si>
    <t>SGR Consulting SA</t>
  </si>
  <si>
    <t>7249596BDD</t>
  </si>
  <si>
    <t xml:space="preserve">Servizio di manutenzione Melis A1 per 48 mesi apparecchiature VRF Replace Multi </t>
  </si>
  <si>
    <t>02595560968</t>
  </si>
  <si>
    <t>MITSUBISHI ELECTRIC EUROPE B.V.</t>
  </si>
  <si>
    <t>731068581B</t>
  </si>
  <si>
    <t>RDO congiunta per fornitura di materiale di consumo per esigenze di CONSOB e di ANTITRUST</t>
  </si>
  <si>
    <t>Z82219D9E9</t>
  </si>
  <si>
    <t>Consob</t>
  </si>
  <si>
    <t>Fornitura e posa in opera di n. 3 porte REI 60 vetrate per il 5° Piano scala C sede Consob.</t>
  </si>
  <si>
    <t>04924991005</t>
  </si>
  <si>
    <t>TECNOMATIC SRL</t>
  </si>
  <si>
    <t>Z2D21B99A0</t>
  </si>
  <si>
    <t>Misurazione dei Campi elettromagnetici presso le sedi di Roma e Milano della Consob</t>
  </si>
  <si>
    <t>SINTESI SPA</t>
  </si>
  <si>
    <t>Abbonamento alla banca dati "L'approccio alla finanza e agli investimenti delle famiglie italiane" per l'anno 2018</t>
  </si>
  <si>
    <t>08586300157</t>
  </si>
  <si>
    <t>GFK ITALIA SRL</t>
  </si>
  <si>
    <t>739117810A</t>
  </si>
  <si>
    <t>Servizio di Manutenzione licenze d'uso software DEMACO triennio 2018-2021</t>
  </si>
  <si>
    <t>02334550288</t>
  </si>
  <si>
    <t>SIAV SPA</t>
  </si>
  <si>
    <t>Z7B22896D4</t>
  </si>
  <si>
    <t>Servizio "Market Connect Feed Argo" per l'anno 2018</t>
  </si>
  <si>
    <t>09112910964</t>
  </si>
  <si>
    <t>SPAFID CONNECT SPA</t>
  </si>
  <si>
    <t>Z272317777</t>
  </si>
  <si>
    <t>Manutenzione ordinaria sugli infissi della sede Consob di Roma</t>
  </si>
  <si>
    <t>MC ENGINEERING SRLS</t>
  </si>
  <si>
    <t>Z6F2320087</t>
  </si>
  <si>
    <t>Convenzione con strutture di asili nido per l'anno pedagogico 2018-2019</t>
  </si>
  <si>
    <t>03-PROCEDURA NEGOZIATA PREVIA PUBBLICAZIONE</t>
  </si>
  <si>
    <t>L'APE MAIA SAS</t>
  </si>
  <si>
    <t>7415215CFC</t>
  </si>
  <si>
    <t>Adesione lotto 3 Convenzione Stampanti 15</t>
  </si>
  <si>
    <t>02973040963</t>
  </si>
  <si>
    <t>KYOCERA DOCUMENT SOLUTIONS ITALIA S.P.A.</t>
  </si>
  <si>
    <t>74232167A0</t>
  </si>
  <si>
    <t>Fornitura n. 225 Pc</t>
  </si>
  <si>
    <t>10892451005*04472901000*01594430702*07252620963*11673301005*12435450155*04654610874*02102821002*02048930206*01866580812*09234221001*01056100629*06467211006*09588050154</t>
  </si>
  <si>
    <t>CAPRIOLI SOLUTIONS SRL*CONVERGE S.P.A.*DYNOTEK SRL*GA SERVICE SRL*GWAY SRL  *INFOBIT SNC*INFORMATICA.NET S.R.L.*ITALWARE S.R.L.*KORA SISTEMI INFORMATICI S.R.L.*MEMOGRAPH S.R.L. *NADA 2008 SRL*PENTA SISTEMI S.R.L. *QUASARTEK S.R.L. *ZUCCHETTI INFORMATICA S.P.A.</t>
  </si>
  <si>
    <t xml:space="preserve">GWAY S.r.l. </t>
  </si>
  <si>
    <t>738555619E</t>
  </si>
  <si>
    <t xml:space="preserve">
Servizio di manutenzione e fornitura upgrade memoria ram per n. 8 server hp; acquisto licenza advanced ilom per n. 30 server hp
</t>
  </si>
  <si>
    <t>01778591006*03878640238*05231661009*07776231008*00929440592*01871321004*05032840968</t>
  </si>
  <si>
    <t>COM.TECH s.r.l.*VIRTUAL LOGIC s.r.l.*R1 S.p.A.*H.M.S. IT S.p.A.*INFORDATA S.p.A.*ATLANTICA SISTEMI S.p.A.*MATICMIND S.p.A.</t>
  </si>
  <si>
    <t>05032840968</t>
  </si>
  <si>
    <t>MATICMIND S.p.A.</t>
  </si>
  <si>
    <t>Z3F228D031</t>
  </si>
  <si>
    <t>Registrazione al sito Social Science Research Network per il triennio 2018-2021</t>
  </si>
  <si>
    <t>Social Science Electronic Publishing</t>
  </si>
  <si>
    <t>739411263F</t>
  </si>
  <si>
    <t>Corso di Inglese (Lotto1 - sede Roma) attivazione opzione rinnovo contratto II° anno</t>
  </si>
  <si>
    <t>05044820156</t>
  </si>
  <si>
    <t>LINGUARAMA ITALIA SRL</t>
  </si>
  <si>
    <t>73941548E7</t>
  </si>
  <si>
    <t>Corso di Inglese (Lotto 2 - sede Milano) attivazione opzione rinnovo contratto II° anno</t>
  </si>
  <si>
    <t>05105710155</t>
  </si>
  <si>
    <t>MANPOWER TALENT SOLUTION COMPANY SRL</t>
  </si>
  <si>
    <t>Z652128748</t>
  </si>
  <si>
    <t>MANUTENZIONE ACCESSORI VIDEOCONFERENZA</t>
  </si>
  <si>
    <t>04272801004</t>
  </si>
  <si>
    <t>TEAM OFFICE SRL</t>
  </si>
  <si>
    <t>TEAM OFFIC ESRL</t>
  </si>
  <si>
    <t>Z482399235</t>
  </si>
  <si>
    <t>Fornitura di n. 1.100 licenze d'uso per 24 mesi del sofware antivirus SEP</t>
  </si>
  <si>
    <t>02019280540</t>
  </si>
  <si>
    <t>ECOBYTE TECHNOLOGY SRL</t>
  </si>
  <si>
    <t>Z9523CC8FC</t>
  </si>
  <si>
    <t>servizio Oracle per la pianificazione, la programmazione ed il reporting</t>
  </si>
  <si>
    <t>01603630599</t>
  </si>
  <si>
    <t>Oracle Italia S.r.l. a socio unico</t>
  </si>
  <si>
    <t>06466050017</t>
  </si>
  <si>
    <t>Z8423CE3C</t>
  </si>
  <si>
    <t>Acquisto pubblicazioni non periodiche italiane</t>
  </si>
  <si>
    <t>MSCDRA75P01H501T</t>
  </si>
  <si>
    <t>MEDIAEDIT DI DARIO MUSCATELLO</t>
  </si>
  <si>
    <t>Z3222F4D86</t>
  </si>
  <si>
    <t>Gestione integrata della sicurezza sui luoghi di lavoro (Periodo: 01.04.18/31.07.18) - Sedi di MILANO</t>
  </si>
  <si>
    <t>ZF02161B3F</t>
  </si>
  <si>
    <t>Servizio registrazione e trascrizione integrale con sistema di riconoscimento automatico della Voce</t>
  </si>
  <si>
    <t>CEDAT 85 SRL</t>
  </si>
  <si>
    <t>Procedura negoziata ex art. 36, comma 2, lett. c),  d.lgs. 50/2016 s.m.i. per l’affidamento dei “Lavori di ristrutturazione alimentazioni elettriche privilegiate da UPS, nella sede Consob di Roma, tramite “RDO n. 1865694 aperta sul MEPA"</t>
  </si>
  <si>
    <t>09421411001*05864181002*02731820870*04777970874*12802321005*06232541000*06363471001*01856621006</t>
  </si>
  <si>
    <t>ELECROMA SRL* SCAR SRL*COGEMAT S.R.L.*I.T.R. S.R.L.*PERRONE 2014*N.E.S.*TEELCOND IMPIANTI*EMITRON SRL</t>
  </si>
  <si>
    <t>01-MANDANTE*02-MANDATARIA* 01-MANDANTE*02-MANDATARIA*01-MANDANTE*02-MANDATARIA* 01-MANDANTE*02-MANDATARIA</t>
  </si>
  <si>
    <t>01822940761*05020990874*05686981001*05266220580*DCTSBN59C29A669Q*01952571006*01436670622*02097850594*06078350581*03974031217*00964840672*00974491003*03986690877*05200820875*06265001211*07542790634*04396800759*03312030657*05522531002*02182210845*03176510588*06220891219*03595221007*06845211009*00491370441*01530821212*00105730568*01906340672*10869151000*01850820992*01565180682*05761290823*00947931002*01373380516*05060361002*04945771006*01145980437*04788971002*02584100040*03641281005*00792700627*07919480637*06733521006*06076770723*02764431215*02610940609*08515201005*00750390635*10013701007*02993910799*04908700729*03447320619*01123141002*04449911215*07532191215*08532341008*02201760424*03010690547*02170410993*00894181007*07043911002*00520620600*04036771006*08674911006*05791980724*09586281009*00970430963*05781531214*00788970739*06025851210*04585531009*08674091007*02971810656*04683211215*00893940783*01267310660</t>
  </si>
  <si>
    <t>LIANZA S.R.L.*C.R.F. COSTRUZIONI S.R.L.*SITAI*DE.FI. SRL*DICATALDO SABINO*GI.FE. COSTRUZIONI SRL*EFFE4SRL*M.D.B. IMPIANTI*ITALPROIM*F.LLI FERRARA SRL*ELETTRICA 2000 S.R.L.*I.EL.ET. IMPIANTI ELETTRICI E TELEFONICI*G.P.COSTRUZIONI DEL GEOM. GIUSEPPE PROIETTO &amp; C. S.A.S.*EURO CIPA S.R.L.*TMC TECHNOLOGY SRL*RDP TELECOMUNICAZIONI SRL*BRUNO BARBA IMPIANTI SRL*I.C.G. SRL UNIPERSONALE IOZZINO COSTRUZIONI GENERALI SRL*GIDI IMPIANTI*SICE SRL*ARTIGIANA ROMANA IMPIANTI DI TIBERTI PALMIRO*GIULIANO SRL*CO.GE.IM. S.R.L.*SECURIA SRL*MDS S.R.L.*BRAIN SRL*BELLI SRL*ELETTROIDRAULICA SILVI SRL*M.I.T. SRL*RICORDA S.R.L.*LA TERMO IMPIANTI DI CARCHESIO MASSIMILIANO*WI-FI NET DI DAVIDE DI VITA S.A.S*DAB SISTEMI INTEGRATI S.R.L.*IGE IMPIANTI SRL*ELETTROSTAFF*CO.G.IM.*STACCHIO IMPIANTI SRL*G.I. GENERAL IMPIANTI S.R.L.*SCOTTA S.R.L.*BLASI COSTRUZIONI SRL*DE MASI S.R.L.*GE.MA. IMPIANTI SAS*OIKOS SRL*SISTEC SRL*MOSCARINO S.A.S. DI ERRICO NICOLETTA &amp; C.*LA TERRA SRL*L.G.R. APPALTI S.R.L.*CO.M.I.*CO.GE.BI. SRL*I.T.E.C. SRL*DE CICCO S.A.S. DI DE CICCO ROBERTO &amp; C.*A.F.A. SOCIETY S.R.L.*INTERM - INSTALLAZIONI TERMOMECCANICHE*SITE IMPIANTI S.R.L.*CEITECNO S.R.L.*ACMM*CELLI IMPIANTI SRL*CASTELLANI IMPIANTI SRL*GRAVEGLIA IMPIANTI S.R.L.*MICOR*A.V.S. APPALTI*D'ANGELI RENATO*ROMA COSTRUZIONI APPALTI*CRB SRL*PRODON IMPIANTI TECNOLOGICI S.R.L.*MAIORANA COSTRUZIONI EDILI SRL*GTE*SIT IMPIANTI*SERVECO S.R.L.*C.L.P. COSTRUZIONI SRL*ICET ITALIA SRL*EBI S.R.L. CON UNICO SOCIO*METODA*FOMA SERVICE*GIORDANO SRL*SIPROS SRL</t>
  </si>
  <si>
    <t>06363471001*01856621006</t>
  </si>
  <si>
    <t>TEELCOND IMPIANTI*EMITRON SRL</t>
  </si>
  <si>
    <t>69233923D1</t>
  </si>
  <si>
    <t>Fornitura di energia elettrica presso la sede di Roma</t>
  </si>
  <si>
    <t>06832931007</t>
  </si>
  <si>
    <t>GALA SPA</t>
  </si>
  <si>
    <t>Acquisto di licenze di librerie grafiche Vaadin.</t>
  </si>
  <si>
    <t>Vaadin</t>
  </si>
  <si>
    <t>Z312434375</t>
  </si>
  <si>
    <t>Acquisizione n. 3 server DELL per la sede di Roma componenti accessori e servizi complementari e di manutenzione</t>
  </si>
  <si>
    <t>Z32240C862</t>
  </si>
  <si>
    <t>Acquisizione di n. 4 server, componenti accessori e servizi complementari e di
manutenzione</t>
  </si>
  <si>
    <t>Z1C22A51E3</t>
  </si>
  <si>
    <t>Fornitura moduli per la centrale telefonica di Roma</t>
  </si>
  <si>
    <t>03438080610</t>
  </si>
  <si>
    <t xml:space="preserve">MTK S.r.l. </t>
  </si>
  <si>
    <t>MTK S.r.l.</t>
  </si>
  <si>
    <t>Facility Management: attività di facchinaggio, presso la sede Consob di Roma</t>
  </si>
  <si>
    <t>Facility Management: attività di  manutenzione svolte presso la sede Consob di Roma</t>
  </si>
  <si>
    <t>Facility Management: attività di facchinaggio, reception e manutenzione svolte presso la sede</t>
  </si>
  <si>
    <t>Z2B249AA2A</t>
  </si>
  <si>
    <t>Affidamento Servizi di Verifica Straordinaria degli impianti elevatori duplex presso la sede Consob di Roma</t>
  </si>
  <si>
    <t>05384711007</t>
  </si>
  <si>
    <t>ELTI - EUROPEAN LIFT TESTING ITALIA SRL</t>
  </si>
  <si>
    <t>755320806D</t>
  </si>
  <si>
    <t>procedura aperta europea in modalità telematica per l’appalto dei servizi di assistenza sanitaria e di medicina preventiva (check-up) per il personale in servizio e in quiescenza della CONSOB e dell’AGCM- LOTTO 1 CONSOB</t>
  </si>
  <si>
    <t>92035990370*03843680376</t>
  </si>
  <si>
    <t>Assicassa* Unisalute S.p.A.</t>
  </si>
  <si>
    <t>97607920150*97288610583</t>
  </si>
  <si>
    <t>Cassa RBM Salute* CASPIE</t>
  </si>
  <si>
    <t>97607920150</t>
  </si>
  <si>
    <t>Cassa RBM Salute</t>
  </si>
  <si>
    <t xml:space="preserve">procedura aperta europea in modalità telematica per l’appalto dei servizi di assistenza sanitaria e di medicina preventiva (check-up) per il personale in servizio e in quiescenza della CONSOB e dell’AGCM- LOTTO 2 AGCM </t>
  </si>
  <si>
    <t>77764544D9</t>
  </si>
  <si>
    <t>Servizi di assistenza sanitaria e di medicina preventiva (check-up) per il personale in servizio e in quiescenza della CONSOB e dell’AGCM- CIG derivato Consob da CIG Lotto 1 Consob 755320806D prorogato ex 106, c. 11 fino al 30/06/2022</t>
  </si>
  <si>
    <t>Z6024FC692</t>
  </si>
  <si>
    <t>contratto ponte per accertamenti diagnostici ordinari e mirati in favore della Consob</t>
  </si>
  <si>
    <t>02067430583</t>
  </si>
  <si>
    <t>R.T.I CAN.BI.AS CARAVAGGIO S.R.L.</t>
  </si>
  <si>
    <t>ZCC24FDFC2</t>
  </si>
  <si>
    <t>01765930589</t>
  </si>
  <si>
    <t>BIOS S.P.A.</t>
  </si>
  <si>
    <t>Z8824FE00F</t>
  </si>
  <si>
    <t>07710020582</t>
  </si>
  <si>
    <t>CASA DI CURA PAIDEIA S.P.A.</t>
  </si>
  <si>
    <t>ZCB24FE078</t>
  </si>
  <si>
    <t>12459161001</t>
  </si>
  <si>
    <t>CENTRO MEDICO POLIDIAGNOSTICO S.N.C.</t>
  </si>
  <si>
    <t>ZE924FE0B6</t>
  </si>
  <si>
    <t>05185971008</t>
  </si>
  <si>
    <t>FIDUCIA S.R.L. - CASA MADONNA DELLA FIDUCIA</t>
  </si>
  <si>
    <t>ZDF24FE0F5</t>
  </si>
  <si>
    <t>contratto ponte per accertamenti diagnostici ordinari in favore della Consob</t>
  </si>
  <si>
    <t>01066621002</t>
  </si>
  <si>
    <t>UNIONE SANITARIA S.P.A.</t>
  </si>
  <si>
    <t>Z6F24FE12A</t>
  </si>
  <si>
    <t>contratto ponte per accertamenti diagnostici ordinari  in favore della Consob</t>
  </si>
  <si>
    <t>03725910586</t>
  </si>
  <si>
    <t>MARILAB S.R.L.</t>
  </si>
  <si>
    <t>ZDE24FE1AB</t>
  </si>
  <si>
    <t>04891080584</t>
  </si>
  <si>
    <t xml:space="preserve"> R.T.I RADIOLOGIA MOSTACCIANO</t>
  </si>
  <si>
    <t>Z1324FE1DC</t>
  </si>
  <si>
    <t>02980270157</t>
  </si>
  <si>
    <t>H SAN RAFFAELE RESNATI S.R.L.</t>
  </si>
  <si>
    <t>Z7D24FE1FF</t>
  </si>
  <si>
    <t>02703120150</t>
  </si>
  <si>
    <t>ISTITUTO AUXOLOGICO ITALIANO</t>
  </si>
  <si>
    <t>Z36256D9F1</t>
  </si>
  <si>
    <t>Intervento di sostituzione componenti dell'Impianto di rilevazione fumi della sede Consob di Roma</t>
  </si>
  <si>
    <t>ZDC25A0664</t>
  </si>
  <si>
    <t>Modifica della distribuzione dell'impianto di condizionamento della "Sala formazione" sita al 1°piano della sede Consob di Roma</t>
  </si>
  <si>
    <t>MITSUBISHI ELECTRIC EUROPE GMBH</t>
  </si>
  <si>
    <t>7663990C9C</t>
  </si>
  <si>
    <t>Convenzione con Borsa Italiana per l'erogazione di servizi informatici (Argo 1, Broker Info, Flussi Informativi e Data Warehouse 2) - 01.11.2018/28.02.2021 + proroga di 6 mesi</t>
  </si>
  <si>
    <t>BORSA ITALIANA SPA</t>
  </si>
  <si>
    <t>Z4C2614EAB</t>
  </si>
  <si>
    <t>Intervento di manutenzione su impianti di spegnimento antincendio della sede Consob di Roma</t>
  </si>
  <si>
    <t>Z57259B37B</t>
  </si>
  <si>
    <t>Abbonamento alla Banca Dati "Markit Buyside Toolkit" per l'anno 2019</t>
  </si>
  <si>
    <t>MARKIT SECURITIES FINANCE ANALYTICS LIMITED</t>
  </si>
  <si>
    <t>ZB525BBBF4</t>
  </si>
  <si>
    <t>Abbonamento alla banca dati "Dealogic" per l'anno 2019</t>
  </si>
  <si>
    <t>DEALOGIC</t>
  </si>
  <si>
    <t>Z6C2624B6E</t>
  </si>
  <si>
    <t>REUTERS NEWS &amp; MEDIA ITALIA S.R.L.</t>
  </si>
  <si>
    <t>Z22265FB49</t>
  </si>
  <si>
    <t>Servizio di Abbonamento al notiziario "Adnkronos" per l'anno 2019</t>
  </si>
  <si>
    <t>00453850588</t>
  </si>
  <si>
    <t>ADNKRONOS SOCIETA' PER AZIONI AGENZIA GIORNALISTICA DI INFORMAZIONI-ADN KRONOS</t>
  </si>
  <si>
    <t>7629964D77</t>
  </si>
  <si>
    <t>Accordo quadro, ex art. 54, comma 3, del d.lgs. 50/2016 s.m.i., interventi di manutenzione edile specificamente e singolarmente ordinati dalla Consob e dall'Agcm (Lotto 1 Consob)</t>
  </si>
  <si>
    <t>03692070711*00291450187*04176180273*06036140728*07981360584*07768360724*05838160728*02197640648*04278910619*ZPPDNC67B26B519L*02314180999*07969131007*00656610557*03498580103*05129041009*00957330673*02266620968*GFFDMN67R14I333C*09136730018*13482491001*01068090586*02628930246*PLLNTN52H02E506X*03004880872*04688560632*03283080046*07018900014*05073320870*06396940964*09186241007</t>
  </si>
  <si>
    <t>ALEASYA COSTRUZIONI S.R.L.*C.E.B. SRL*COSTRUZIONI MANUTENZIONI E SERVIZI SRL -CO.M.E S. SRL*D'ATTOLICO PAOLO S.R.L.*E.T. COSTRUZIONI S.R.L.*EDIL AGRESTI S.R.L.*EDILSAN &amp; GLOBAL SERVICES*EURO GARDENIA SRL*FABIANA COSTRUZIONI SRL*G.Z. COSTRUZIONI DI ZAPPONE DOMENICO*GARINO COSTRUZIONI SRL*GESTIONI AMBIENTALI SRL*GRIFI SRL*I.CO.STRA S.R.L.*IM.A.R. IMPRESA APPALTI RESTAURI SRL*IM.E.D'A. S.R.L.*IMPRESA COSTRUZIONI ROLLA GEOM. PIETRO SRL*IMPRESA EDILE GIOFFRE' DAMIANO*LAURIA IMPIANTI S.R.L.*LAVORATORI SOCIETA' COOPERATIVA*LAZIALE STRADE*MORATI COSTRUZIONI SRL*PELLE' ANTONIO*REPIN S.R.L.*RO.MA.APPALTI DI NUME DOMENICO &amp; C.SAS*S.C.C. S.R.L.*S.I.C.E.T. S.R.L.*SASE S.R.L.*SE.MA. COSTRUZIONI SRL*SINERGIA T. GROUP S.R.L.</t>
  </si>
  <si>
    <t>07981360584</t>
  </si>
  <si>
    <t>E.T. COSTRUZIONI S.R.L.</t>
  </si>
  <si>
    <t>Accordo quadro, ex art. 54, comma 3, del d.lgs. 50/2016 s.m.i., con un unico operatore economico per l'esecuzione di singoli interventi di manutenzione edile specificamente e singolarmente ordinati dalla Consob e dall'Agcm (Lotto 2 AGCM)</t>
  </si>
  <si>
    <t>77207704F5</t>
  </si>
  <si>
    <t>Procedura negoziata per la fornitura in abbonamento, per le annualità 2019 e 2020, di pubblicazioni periodiche italiane ed estere e relativi servizi accessori per la biblioteca e gli uffici della CONSOB</t>
  </si>
  <si>
    <t>02938930589*11164410018</t>
  </si>
  <si>
    <t xml:space="preserve">CELDES SRL*EBSCO INFORMATION SERVICES S.R.L. </t>
  </si>
  <si>
    <t>11164410018</t>
  </si>
  <si>
    <t>EBSCO INFORMATION SERVICES S.r.l.</t>
  </si>
  <si>
    <t>7717466E66</t>
  </si>
  <si>
    <t>Servizi manutenzione apparati di rete Ethernet</t>
  </si>
  <si>
    <t>03043220833*10239630964*00488410010*14373241000</t>
  </si>
  <si>
    <t>FLYNET COMUNICAZIONI S.R.L.*TECHNOINF S.R.L.S.*TELECOM ITALIA SPA*XOFFICE GROUP S.R.L.</t>
  </si>
  <si>
    <t>77248679E7</t>
  </si>
  <si>
    <t>Servizio di cassa in favore della Consob</t>
  </si>
  <si>
    <t>00053810149</t>
  </si>
  <si>
    <t>BANCA POPOLARE DI SONDRIO S.C.P.A</t>
  </si>
  <si>
    <t>771088793E</t>
  </si>
  <si>
    <t>Servizio di «deposito e custodia di documentazione istituzionale» Lotto 1 Roma</t>
  </si>
  <si>
    <t>05195930580*06700240580*10729070150</t>
  </si>
  <si>
    <t>BUCAP S.p.A.*DEMAX Depositi e Trasporti
S.p.A.*Italarchivi</t>
  </si>
  <si>
    <t>05195930580</t>
  </si>
  <si>
    <t>BUCAP S.p.A.</t>
  </si>
  <si>
    <t>7710894F03</t>
  </si>
  <si>
    <t>Servizio di «deposito e custodia di documentazione istituzionale» Lotto 2 Milano</t>
  </si>
  <si>
    <t>05195930580*10729070150</t>
  </si>
  <si>
    <t>BUCAP S.p.A.*Italarchivi</t>
  </si>
  <si>
    <t>Z69255E1E7</t>
  </si>
  <si>
    <t>Acquisizione di n. 960 risme di carta formato A4</t>
  </si>
  <si>
    <t>Office Depot Italia Srl</t>
  </si>
  <si>
    <t>03675290286</t>
  </si>
  <si>
    <t>772688398F</t>
  </si>
  <si>
    <t>Oracle - Rinnovo manutenzione licenze d'uso software - anno 2019</t>
  </si>
  <si>
    <t>778283027E</t>
  </si>
  <si>
    <t>Accordo quadro, ex art. 54, comma 3, del d.lgs. 50/2016 s.m.i., interventi di manutenzione edile Consob e Agcm (Lotto 1 Consob) - CIG derivato da CIG Consob 7629964D77 con aumento del quinto (euro 66.000,00) e proroga tecnica</t>
  </si>
  <si>
    <t>Z8526D7C3C</t>
  </si>
  <si>
    <t>Servizio di Posta Elettronica Certificata per il periodo 1/1/2019-30/09/2019</t>
  </si>
  <si>
    <t>07945211006</t>
  </si>
  <si>
    <t>INFOCERT SPA</t>
  </si>
  <si>
    <t>Facility Management per immobili ad uso ufficio per attività di reception  presso la sede di Roma</t>
  </si>
  <si>
    <t>Facility Management per immobili ad uso ufficio per attività di manutenzione presso la sede di Roma</t>
  </si>
  <si>
    <t>Facility Management per immobili ad uso ufficio per attività di facchinaggio, presso la sede di Roma</t>
  </si>
  <si>
    <t>ZC72746910</t>
  </si>
  <si>
    <t>Acquisizione quotidiani cartacei presso la sede di ROMA (1.3.19-29.2.20)</t>
  </si>
  <si>
    <t>SERVIZI DIFFUSIONALI SRL</t>
  </si>
  <si>
    <t>Servizio di Manutenzione dei server Oracle (01.01.2019/31.12.2019)</t>
  </si>
  <si>
    <t>782068596B</t>
  </si>
  <si>
    <t>Abbonamento banca dati BLOOMBERG (MI) DIE (PEQ) - Sede di Milano -postazione OPEN (Sid: 2261974)</t>
  </si>
  <si>
    <t>11586340157</t>
  </si>
  <si>
    <t>BLOOMBERG FINANCE L.P.</t>
  </si>
  <si>
    <t>782062798E</t>
  </si>
  <si>
    <t>Abbonamento banca dati BLOOMBERG (RM) DME (VME) - sede di Roma - postazione OPEN (Sid: 3536483)</t>
  </si>
  <si>
    <t>7827941D41</t>
  </si>
  <si>
    <t>Adesione Convenzione per la prestazione di servizi di telefonia mobile e servizi connessi - Lotto 1</t>
  </si>
  <si>
    <t>05231661009</t>
  </si>
  <si>
    <t>Adesione a convenzione Consip "PC Desktop 16" lotto 3 per la fornitura di n. 125 PC desktop</t>
  </si>
  <si>
    <t>02102821002</t>
  </si>
  <si>
    <t>ITALWARE S.R.L.</t>
  </si>
  <si>
    <t>Z1927CCE6A</t>
  </si>
  <si>
    <t>Adesione Convenzione consip "apparecchiature multifunzione 30"</t>
  </si>
  <si>
    <t>Kyocera Documents Solutions Italia S.p.A</t>
  </si>
  <si>
    <t>Licenze d'uso del software SAS e del Servizio Enterprise Guide per l'anno 2019</t>
  </si>
  <si>
    <t>08517850155</t>
  </si>
  <si>
    <t>SAS INSTITUTE SRL</t>
  </si>
  <si>
    <t>Z7527ED077</t>
  </si>
  <si>
    <t>Servizio di supporto specialistico dalla società Oracle per spegnimento apparati della server Farm</t>
  </si>
  <si>
    <t>ZF728C600C</t>
  </si>
  <si>
    <t>Manutenzione biennale n. 2 apparati Raggi X SecurSCANXRC-6040P</t>
  </si>
  <si>
    <t>SECURITALY S.R.L.</t>
  </si>
  <si>
    <t>ZE527CA841</t>
  </si>
  <si>
    <t>Adesione accordo quadro Consip "Fuel card 1" per la fornitura di carburante da autotrazione mediante fuel Card da maggio 2019 al 24 gennaio 2022</t>
  </si>
  <si>
    <t>00051570893</t>
  </si>
  <si>
    <t>ITALIANA PETROLI SPA</t>
  </si>
  <si>
    <t>ZAF2829FFA</t>
  </si>
  <si>
    <t>Acquisto di n. 4000 cartelline e n. 400 blocknotes personalizzati da utilizzare in occasione di convegni, seminari ed incontri di lavoro</t>
  </si>
  <si>
    <t>00700940588</t>
  </si>
  <si>
    <t>ARTI GRAFICHE SAN MARCELLO SRL</t>
  </si>
  <si>
    <t>Z0127F63A5</t>
  </si>
  <si>
    <t>Fornitura di n. 150 copie della Relazione Annuale dell'Arbitro per le Controversie Finanziarie</t>
  </si>
  <si>
    <t>Z7B2815E18</t>
  </si>
  <si>
    <t>Convenzione con strutture di asili nido per l'anno pedagogico 2019-2020</t>
  </si>
  <si>
    <t>Z902864CB7</t>
  </si>
  <si>
    <t>Abbonamento al notiziario MF Dow Jones Professional dal 01.06.2019 al 31 maggio 2021</t>
  </si>
  <si>
    <t>03765020965</t>
  </si>
  <si>
    <t>MF DOW JONES NEWS SRL</t>
  </si>
  <si>
    <t>7804267CDA</t>
  </si>
  <si>
    <t>Fornitura energia elettrica sede ROMA, in conv. Consip "EE 16" dal 01 maggio 2019 al 30 aprile 2020</t>
  </si>
  <si>
    <t>06655971007</t>
  </si>
  <si>
    <t>ENEL ENERGIA SPA</t>
  </si>
  <si>
    <t>ZF328BA79F</t>
  </si>
  <si>
    <t>Servizi di Sorveglianza n.2 radiogeni per il controllo di pacchi presso la sede (per il periodo 1 luglio 2019 -30 giugno 2022)</t>
  </si>
  <si>
    <t>PANICHELLI HSC SRLS</t>
  </si>
  <si>
    <t>Manutenzione ordinaria, straordinaria ed evolutiva delle tende della sede Consob di Roma - RdI n. 5</t>
  </si>
  <si>
    <t>L'ITALIANA SERVIZI S.C.A.R.L.</t>
  </si>
  <si>
    <t>Z98284AB3B</t>
  </si>
  <si>
    <t>Integrazione del Certificato di Prevenzione Incendi a seguito di lavori di ristrurazione alimentazioni elettriche sede Roma</t>
  </si>
  <si>
    <t>FZZDLF74A19F839J</t>
  </si>
  <si>
    <t>ADOLFO: FAZZARI</t>
  </si>
  <si>
    <t>Z30277E4CA</t>
  </si>
  <si>
    <t>Noleggio di 3 autovetture di media cilindrata per le esigenze di servizio delle sedi Consob Roma e Milano periodo 01 maggio 2019 30 aprile 2022</t>
  </si>
  <si>
    <t>00879960524*08083020019*00105050827*06320451211*02963700212*02933870541*07978810583</t>
  </si>
  <si>
    <t>ARVAL SERVICE LEASE ITALIA SPA*LEASYS SPA*SICILY BY CAR SPA*FACILE RENT SRL*RENT2GO SRL*QJ RENT SRL*ALD AUTOMOTIVE ITALIA SRL</t>
  </si>
  <si>
    <t>RENT2GO SRL</t>
  </si>
  <si>
    <t>Z592896E9F</t>
  </si>
  <si>
    <t>Servizio di pulizia straordinaria immobile di via G.B. Martini, sede Consob in Roma il 25 maggio 2019</t>
  </si>
  <si>
    <t>05891081001</t>
  </si>
  <si>
    <t>SYMPLY SOC. COOP</t>
  </si>
  <si>
    <t>Z4928F0B99</t>
  </si>
  <si>
    <t>Rinnovo certifificati di firma digitale</t>
  </si>
  <si>
    <t>Z4B2859D3E</t>
  </si>
  <si>
    <t>servizio di assistenza ed intermediazione assicurativa (brokeraggio) in relazione alla procedura per polizza RCT/RCO egestione del relativo contratto (senza oneri per consob)</t>
  </si>
  <si>
    <t>09627810154</t>
  </si>
  <si>
    <t>Viras International Insurance Broker S.p.a.</t>
  </si>
  <si>
    <t>165,00 (valore)</t>
  </si>
  <si>
    <t>7862899D82</t>
  </si>
  <si>
    <t>dell'opzione di rinnovo, agli stessi patti e condizioni, del contratto in
essere per la copertura assicurativa della Consob contro i danni al patrimonio immobile e mobile
(ALL RISK) con UnipolSai Assicurazioni S.p.A. per ulteriori due anni</t>
  </si>
  <si>
    <t>00818570012</t>
  </si>
  <si>
    <t>Unipol Sai Assicurazioni S.p.A.</t>
  </si>
  <si>
    <t>ZE827D7405</t>
  </si>
  <si>
    <t>Quota di adesione della CONSOB all'Osservatorio Business Continuity</t>
  </si>
  <si>
    <t>07312041002</t>
  </si>
  <si>
    <t>Consorzio Abilab</t>
  </si>
  <si>
    <t>ZA72897AD2</t>
  </si>
  <si>
    <t>affidamento diretto preceduto da indagine di mercato, ai sensi dell’art. 36, comma 2, lett. a) del d.lgs. 50/2016 s.m.i., del servizio di copertura assicurativa della responsabilità civile della Consob verso terzi e dipendenti (RCT/RCO)</t>
  </si>
  <si>
    <t>1677750158*97819940152*05032630963*00902170018*00409920584*00411140585*10548370963*00320160237*00818570012*11998320011*01627980152*07972530963*02525520223*06571640157*00885091009*10022490964</t>
  </si>
  <si>
    <t>AMISSIMA ASSICURAZIONI S.P.A.*AIG EUROPE S.A. Rappresentanza Generale per l'italia*ALLIANZ SPA*AXA ASSICURAZIONI Spa*GENERALI ITALIA S.P.A.*GROUPAMA ASSICURAZIONI S.P.A.*LLOYD'S INSURANCE COMPANY SA*Società Cattolica di Assicurazione Soc. Coop.*Unipolsai Assicurazioni SpA*SOCIETÀ REALE MUTUA DI ASSICURAZIONE*ZURICH INSURANCE COMPANY Ltd*AMTRUST EUROPE LIMITED*ITAS MUTUA*CHUBB EUROPEAN GROUP SE*SARA ASSICURAZIONI SPA*LIBERTY MUTUAL INSURANCE EUROPE SE</t>
  </si>
  <si>
    <t>01677750158</t>
  </si>
  <si>
    <t>AMISSIMA ASSICURAZIONI S.P.A.</t>
  </si>
  <si>
    <t>Z9028F22A8</t>
  </si>
  <si>
    <t>Accordo quadro per servizi di catering presso le sedi Consob di Roma</t>
  </si>
  <si>
    <t>03901021000</t>
  </si>
  <si>
    <t>ZB81F5CE91</t>
  </si>
  <si>
    <t>Manutenzione triennale di n. 4 server Fujitsu RX300S8 presso la sede Consob di Roma</t>
  </si>
  <si>
    <t>07795480586*11980230152*04472901000*02897010969*07776231008*00929440592*05032840968*04303141008*05231661009*02776770238*02095410649</t>
  </si>
  <si>
    <t>ATLANTICA SISTEMI*CONCRETE SRL*CONVERGE S.P.A.*FUJITSU TECHNOLOGY SOLUTIONS*HMS IT SPA*INFORDATA*MATICMIND S.P.A.*NSR*R1*RTC*SOTEHA SRL</t>
  </si>
  <si>
    <t>Z692921BC6</t>
  </si>
  <si>
    <t>Servizi di pulizia straordinaria immobile di via G. B. martini giorni 4 e 5 luglio 2019</t>
  </si>
  <si>
    <t>ZB4290DDBA</t>
  </si>
  <si>
    <t>Servizio di pulizia straordinaria immobile di via G.B. Martini, sede Consob 1, 2 e 3 luglio 2019</t>
  </si>
  <si>
    <t>Z0029E0B0C</t>
  </si>
  <si>
    <t>Realizzazione di una piattaforma decisionale web based innovativa con finalità di educazione finanziaria</t>
  </si>
  <si>
    <t>UNIVERSITA' DI TRENTO</t>
  </si>
  <si>
    <t>Z9E29E0B79</t>
  </si>
  <si>
    <t>Sviluppo di una applicazione relativa al progetto Investor Education</t>
  </si>
  <si>
    <t>RGGMSM73C27H501Z</t>
  </si>
  <si>
    <t>MASSIMILIANO: RAGGI</t>
  </si>
  <si>
    <t>80211595CD</t>
  </si>
  <si>
    <t>Adesione Convenzione “Consip Tecnologia Server 2” Lotto 3 -  2 server DELL + 5 anni manutenzione</t>
  </si>
  <si>
    <t>80211763D5</t>
  </si>
  <si>
    <t>Adesione Convenzione “Consip Tecnologia Server 2” Lotto 4 - 10 server HP + 5 anni manutenzione</t>
  </si>
  <si>
    <t>82912468A4</t>
  </si>
  <si>
    <t>Adesione a Contratto Quadro “SERVIZI CLOUD”, lotto 2 Servizi di gestione delle identità digitali e sicurezza applicativa</t>
  </si>
  <si>
    <t>804700134C</t>
  </si>
  <si>
    <t>80204250585</t>
  </si>
  <si>
    <t>Servizio di Traduzione e revisione atti e documenti inerenti l'attività istituzionale  della Consob - contratto stipulato a seguito di procedura aperta svolta da AGCM per conto di Consob (Lotto 2 Consob 7920404C23)</t>
  </si>
  <si>
    <t>02717560169</t>
  </si>
  <si>
    <t>ARKADIA TRANSLATIONS SRL</t>
  </si>
  <si>
    <t>Z1B2A22977</t>
  </si>
  <si>
    <t>Servizio di abbonamento alla banca dati "DCM Manager" per l'anno 2020</t>
  </si>
  <si>
    <t>Z4C29DE2BE</t>
  </si>
  <si>
    <t>Servizi di Verifica periodica degli impianti elevatori installati presso la sede Consob di Roma esercizio 2019</t>
  </si>
  <si>
    <t>E.L.T.I. S.R.L. (EUROPEAN LIFT TESTING ITALIA)</t>
  </si>
  <si>
    <t>8111793F55</t>
  </si>
  <si>
    <t>Acquisizione del Software Red Hat  "Licenze Software Multibrand 2 " lotto 4 per 36 mesi dall'attivazione</t>
  </si>
  <si>
    <t>ZA62A31CD4</t>
  </si>
  <si>
    <t>Servizio di abbonamento alla Banca Dati "Data feed Morningstar" per l'anno 2020</t>
  </si>
  <si>
    <t>MORNINGSTAR ITALY SRL</t>
  </si>
  <si>
    <t>81874701FC</t>
  </si>
  <si>
    <t>Abbonamento notiziario Radiocor per l'anno 2020</t>
  </si>
  <si>
    <t>00777910159</t>
  </si>
  <si>
    <t>Il Sole 24 Ore S.p.A</t>
  </si>
  <si>
    <t>ZB32A97DDF</t>
  </si>
  <si>
    <t>Abbonamento alle banche dati "Telemaco" ed "EBR" per l'anno 2020.</t>
  </si>
  <si>
    <t>02313821007</t>
  </si>
  <si>
    <t>INFOCAMERE - SOCIETA' CONSORTILE DI INFORMATICA DELLE CAMERE DI COMMERCIO ITALIANE PER AZIONI</t>
  </si>
  <si>
    <t>81445127EA</t>
  </si>
  <si>
    <t>Acquisizione dei servizi informativi di banche dati e notiziari Refinitiv per l'anno 2020</t>
  </si>
  <si>
    <t>03771690967</t>
  </si>
  <si>
    <t>REFINITIV ITALY S.P.A.</t>
  </si>
  <si>
    <t>8090737F5F</t>
  </si>
  <si>
    <t>Banca dati Bloomberg 3 licenze (RM) 2020-2022</t>
  </si>
  <si>
    <t>Z222BFB1C9</t>
  </si>
  <si>
    <t>Realizzazione di iniziativa finanziaria in occasione relazione annuale ACF</t>
  </si>
  <si>
    <t>10686030015</t>
  </si>
  <si>
    <t>TAXI1729 O CANOVA PAOLO RIZZUTO DIEGO E ZACCONE SARA S.N.C.</t>
  </si>
  <si>
    <t>Z562BF4152</t>
  </si>
  <si>
    <t>Noleggio autovettura Fiat Panda 1.2 69 CV Easypower E6 d Temp Easy (gpl) senza conducente tramite adesione al Lotto 4 della Convenzione Consip "Veicoli in Noleggio 14", dal 10 maggio 2020 per 48 mesi per le esigenze della sede Consob di Roma.</t>
  </si>
  <si>
    <t>06496050151</t>
  </si>
  <si>
    <t>Lease Plan Italia Spa</t>
  </si>
  <si>
    <t>Z102BAA499</t>
  </si>
  <si>
    <t>Noleggio e manutenzione triennale di due tappeti personalizzati per sede di Roma dell'Istituto</t>
  </si>
  <si>
    <t>05851410158</t>
  </si>
  <si>
    <t>ELIS ITALIA SPA</t>
  </si>
  <si>
    <t>Z2F2C43848</t>
  </si>
  <si>
    <t xml:space="preserve">Riparazione serranda motorizzata dell'ingresso principale della sede Consob di Roma </t>
  </si>
  <si>
    <t>02209620562</t>
  </si>
  <si>
    <t>SER 2015</t>
  </si>
  <si>
    <t>7956416231</t>
  </si>
  <si>
    <t>Prestazione dei servizi di Facility Management per la sede Consob di Roma</t>
  </si>
  <si>
    <t>05850080630</t>
  </si>
  <si>
    <t>ROMEO GESTIONI S.P.A.</t>
  </si>
  <si>
    <t>Fornitura di n. 170 PC portatili in adesione alla convenzione Consip "Pc Portatili e Tablet 3"</t>
  </si>
  <si>
    <t>INFORDATA SPA</t>
  </si>
  <si>
    <t>8234184797</t>
  </si>
  <si>
    <t>Adesione a Convenzione Consip per acqusito n. 270 pc</t>
  </si>
  <si>
    <t>Z372C8DBD3</t>
  </si>
  <si>
    <t>Traduzione in lingua ceca</t>
  </si>
  <si>
    <t>01287540445</t>
  </si>
  <si>
    <t>INTRAWELT DI ALESSANDRO POTALIVO &amp; C. S.A.S.</t>
  </si>
  <si>
    <t>ZC42B761B6</t>
  </si>
  <si>
    <t>traduzione in lingua russa</t>
  </si>
  <si>
    <t>02936070982</t>
  </si>
  <si>
    <t>Studio Moretto Group S.r.l.</t>
  </si>
  <si>
    <t>Z8F2CA5F4C</t>
  </si>
  <si>
    <t>Acquisto servizio per l'accesso da remoto alle Banche Dati Bloomberg (RM n.4, MI n. 1) per 24 mesi</t>
  </si>
  <si>
    <t>BLOOMBERG L.P.</t>
  </si>
  <si>
    <t>Z9F2B2C123</t>
  </si>
  <si>
    <t>Valutazione dello stress lavoro correlato ai sensi del D.lgs. 81/08 presso le sedi Consob di Roma e di Milano</t>
  </si>
  <si>
    <t>Università degli studi di Roma di Tor Vergata</t>
  </si>
  <si>
    <t>ZAC2AFAD67</t>
  </si>
  <si>
    <t>Noleggio triennale di n. 8 distributori automatici di acqua potabile per le sedi Consob di Roma e Milano</t>
  </si>
  <si>
    <t>10858570012</t>
  </si>
  <si>
    <t>ACQUALYS srl</t>
  </si>
  <si>
    <t>12156521002</t>
  </si>
  <si>
    <t>82296802C7</t>
  </si>
  <si>
    <t>Noleggio - LOTTO 1- n. 43 fotocopiatrici mutlifunzione - Adesione convenzione Consip "Apparecchiature multifunzione 31 - noleggio " dal 1° maggio 2020 al 30 aprile 2025 - ROMA</t>
  </si>
  <si>
    <t>Z242C8CBEB</t>
  </si>
  <si>
    <t>N- 30 abbonamenti annuali digitali al quotidiano "Corriere della Sera"</t>
  </si>
  <si>
    <t>12086540155</t>
  </si>
  <si>
    <t>RCS Mediagroup spa</t>
  </si>
  <si>
    <t>ZF62C12B8A</t>
  </si>
  <si>
    <t>Noleggio 48 mesi VW
Passat 1.4 Ibrida Plug-in per le esigenze della sede di Roma, 23 giugno 2020 - 22 giugno 2024.</t>
  </si>
  <si>
    <t>01924961004*04911190488*01610670356*02615080963*06714021000</t>
  </si>
  <si>
    <t>ALD AUTOMOTIVE ITALIA S.R.L.*ARVAL SERVICE LEASE ITALIA S.P.A. A SOCIO UNICO*CAR SERVER S.P.A.*LEASE PLAN ITALIA SPA*LEASYS S.P.A.</t>
  </si>
  <si>
    <t>02615080963</t>
  </si>
  <si>
    <t>LEASE PLAN ITALIA SPA</t>
  </si>
  <si>
    <t>ZED2CA45A6</t>
  </si>
  <si>
    <t>Servizi per la gestione integrata della salute e della sicurezza sui luoghi di lavoro presso la sede di Roma (contratto "ponte" 1 maggio 2020 al 31 ottobre 2020)</t>
  </si>
  <si>
    <t>Z7F2CA4665</t>
  </si>
  <si>
    <t>Servizi per la gestione integrata della salute e della sicurezza sui luoghi di lavoro presso la sede di Roma  - Medicina del lavoro (contratto "ponte")</t>
  </si>
  <si>
    <t>14530191007</t>
  </si>
  <si>
    <t>Sintesi Sanità srl</t>
  </si>
  <si>
    <t>R1 S.P.A</t>
  </si>
  <si>
    <t>‭Z442CASF5C‬</t>
  </si>
  <si>
    <t>Oneri di pubblicazione Gara Europea per l'affidamento del contratto di assicurazione contro i rischi di morte e invalidità civile per il personae 2021 - 2025 - Poligrafico</t>
  </si>
  <si>
    <t>ISTITUTO POLIGRAFICO E ZECCA DELLO STATO</t>
  </si>
  <si>
    <t>‭Z422C8E4AC‬</t>
  </si>
  <si>
    <t>Servizio "Postaonline tramite collegamento Host to Host"servizi di spedizione di n. 1500 raccomandate A.R. estere e di n. 800 raccomandate A.R a soggetti residenti in Italia</t>
  </si>
  <si>
    <t>POSTE ITALIANE SPA</t>
  </si>
  <si>
    <t>‭ZEA2C3EA3E‬</t>
  </si>
  <si>
    <t>Noleggio - LOTTO 3- n. 2 fotocopiatrici  a colori - Adesione convenzione Consip "Apparecchiature multifunzione 31 - noleggio " dal 1° maggio 2020 al 30 aprile 2025 - ROMA</t>
  </si>
  <si>
    <t>KYOCERA DOCUMENT SOLUTIONS ITALIA SPA</t>
  </si>
  <si>
    <t>‭5773907AC7‬</t>
  </si>
  <si>
    <t>Servizio di vigilanza armata sede di Roma dal 01/04 al 30/11/2020 - proroga tecnica</t>
  </si>
  <si>
    <t>INTERNATIONAL SECURITY SERVICE VIGILANZA SPA</t>
  </si>
  <si>
    <t>‭Z912D21680‬</t>
  </si>
  <si>
    <t>Fornitura e posa in opera di una nuova centrale antincendio per l'impianto di rilevazione della sede di Roma.</t>
  </si>
  <si>
    <t>RTI ROMEO GESTIONI SPA</t>
  </si>
  <si>
    <t>‭82065123F0‬</t>
  </si>
  <si>
    <t>Fornituta Energia Elettrica Convenzione Consip Energia Elettrica 17  dal 01 maggio 2020 al 30 Aprile 2021 per la sede di Roma</t>
  </si>
  <si>
    <t>‭ZCC2CFFD6B‬</t>
  </si>
  <si>
    <t>Acquisto di licenze di librerie grafiche Vaadin Opzione "Pro".</t>
  </si>
  <si>
    <t>VAADIN LTD</t>
  </si>
  <si>
    <t>81036027EA</t>
  </si>
  <si>
    <t>Sistema informatico di analisi semantica basato sulla tecnologia Cogito</t>
  </si>
  <si>
    <t>02608970360</t>
  </si>
  <si>
    <t>Expert System spa</t>
  </si>
  <si>
    <t>8330918B02</t>
  </si>
  <si>
    <t>Affidamento in concessione del servizio di gestione di distributori automatici di bevande e prodotti alimentari presso la sede Consob di Roma (Lotto 1)</t>
  </si>
  <si>
    <t>01038120306</t>
  </si>
  <si>
    <t>Z252D21BB5</t>
  </si>
  <si>
    <t>Acquisizione 5 stampanti b/n tramite Adesione a Convenzione Consip</t>
  </si>
  <si>
    <t>Kiocera Document Solution Italia s.p.a.</t>
  </si>
  <si>
    <t>82859695ED</t>
  </si>
  <si>
    <t xml:space="preserve">SERVIZIO DI STAMPA E CONSEGNA DELLE PUBBLICAZIONI ISTITUZIONALI </t>
  </si>
  <si>
    <t>12186041005*04157020407*01381050788*02588370748*02450970658*02691820654*00219590353*07040481009*07561880639*01702621002*00835510561*14484681003*00696690502*00364230409*00122460793*15005591001*05023781007*00114330566*13256861009*11807721003*00135920593*01712120706*13485641008*05383391009*04991070485</t>
  </si>
  <si>
    <t>TERA PRINT S.R.L.*FILOGRAF ARTI GRAFICHE S.R.L.*STABILIMENTO TIPOGRAFICO DE ROSE S.N.C.*TIPOGRAFIA RAGIONE S.R.L.*EDIGUIDA S.R.L.*GRAFICA METELLIANA S.P.A.*BERTANI &amp; C. S.R.L.*PALOMBI&amp;LANCI SRL - TIPOGRAFIA*ROSSI S.R.L.*TIPOGRAFIA EUROSIA S.R.L.*PRIMAPRINT S.R.L.*ABILGRAPH 2.0 S.R.L.*PACINI EDITORE S.R.L.*CILS COOP SOCIALE*RUBBETTINO S.R.L.*BLUE LEMON COMMUNICATION S.R.L.S.*TIBURTINI S.R.L.*TIPOLITOGRAFIA QUATRINI ARCHIMEDE &amp; FIGLI DI QUATRINI GABRIELE E QUATRINI FRANCESCO S.N.C.*EMMEGIERRE S.R.L.*FOTOLITO MOGGIO S.R.L.*TIPOGRAFIA MONTI S.R.L.*CERBONE STAMPA S.R.L.*S.T.I. STAMPA TIPOLITOGRAFICA ITALIANA S.R.L.*LEGISLAZIONE TECNICA S.R.L.*PIRENE S.R.L.</t>
  </si>
  <si>
    <t>07155490589</t>
  </si>
  <si>
    <t>TIPOGRAFIA EUROSIA S.R.L.</t>
  </si>
  <si>
    <t>8318936B26</t>
  </si>
  <si>
    <t>Piattaforma Rassegna Stampa</t>
  </si>
  <si>
    <t>00735000572*04982350581</t>
  </si>
  <si>
    <t>Telpress Italia Srl*Data Stampa Srl</t>
  </si>
  <si>
    <t>00735000572</t>
  </si>
  <si>
    <t>Telpress Italia S.p.A.</t>
  </si>
  <si>
    <t>8338091A5B</t>
  </si>
  <si>
    <t>Adesione alla conv. Consip FAcility Management 4 - lotto 11 - sede Consob di Roma</t>
  </si>
  <si>
    <t>07947601006*11205571000*01103180582*04808921003*05617631006*13309491002*00981850597</t>
  </si>
  <si>
    <t>TEAM SERVICE Società Consortile a r.l.*CBRE GWS TECHNICAL DIVISION S.p.A. A SOCIO UNICO*COMBUSTIBILI NUOVA PRENESTINA S.p.A.*GRUPPO ECF IMPIANTI TECNOLOGICI E COSTRUZIONI S.p.A.*HITRAC ENGINEERING GROUP S.p.A.*SIMALT S.r.l.*SOCIETA' NAZIONALE APPALTI MANUTENZIONI LAZIO SUD S.N.A.M. S.r.l.</t>
  </si>
  <si>
    <t>02-MANDATARIA*01-MANDANTE*01-MANDANTE*01-MANDANTE*01-MANDANTE*01-MANDANTE*01-MANDANTE</t>
  </si>
  <si>
    <t>Z942CF8956</t>
  </si>
  <si>
    <t>Servizio di asilo nido anno pedagogico 2020-2021 senza obbligo di convenzionamento da parte Consob (importo stimato sulla base dei potenziali posti messi a disposizione)</t>
  </si>
  <si>
    <t>Casa Religiosa Istituto di Cultura e di Lingue per l'educazione e istruzione nelle Scuole delle Suore Marcelline (Milano)  </t>
  </si>
  <si>
    <t>ZE02CF8840</t>
  </si>
  <si>
    <t>Casa dell’ape maia (Roma)</t>
  </si>
  <si>
    <t>Z212CB2FE7</t>
  </si>
  <si>
    <t>copertura assicurativa COVID-19</t>
  </si>
  <si>
    <t>CASSA RBM SALUTE</t>
  </si>
  <si>
    <t>Z582C96DFC</t>
  </si>
  <si>
    <t>traduzione in lingua ceca</t>
  </si>
  <si>
    <t>8263465B08</t>
  </si>
  <si>
    <t xml:space="preserve">Gara europea a procedura aperta per  l'affidamento del contratto di assicurazione contro i rischi di morte e invalidità permanente per il personale della CONSOB </t>
  </si>
  <si>
    <t>00409920584</t>
  </si>
  <si>
    <t>GENERALI ITALIA S.P.A.</t>
  </si>
  <si>
    <t>Z622A66469</t>
  </si>
  <si>
    <t>ZC92525E37</t>
  </si>
  <si>
    <t>Rappresentazione online "Occhio alle truffe!" il 21 maggio 2020, ore 16 (BICOCCA- Milano) + rappresentazioni teatrali piano Educazione Fin.ria 25.11.19/6.12.19/11.02.20 e 12.02.20.</t>
  </si>
  <si>
    <t>04637850753</t>
  </si>
  <si>
    <t>EDIZIONI BELPAESE SRLS</t>
  </si>
  <si>
    <t>ZAA29FD991</t>
  </si>
  <si>
    <t>Manutenzione Axway per le componenti software "Synchrony Gateway e Synchrony Sentinel V.3" per il 2020</t>
  </si>
  <si>
    <t>13014760154</t>
  </si>
  <si>
    <t>AXWAY</t>
  </si>
  <si>
    <t>Z082A663AF</t>
  </si>
  <si>
    <t>Z4923DD0D6</t>
  </si>
  <si>
    <t>CANONE PEDAGGIO AUTOSTRADALE</t>
  </si>
  <si>
    <t>09771701001</t>
  </si>
  <si>
    <t>Telepass spa</t>
  </si>
  <si>
    <t>75514440BA</t>
  </si>
  <si>
    <t>ACQUISTO BIGLIETTERIA FERROVIARIA 2020</t>
  </si>
  <si>
    <t>TRENITALIA SPA</t>
  </si>
  <si>
    <t>‭Z122E56BFE‬</t>
  </si>
  <si>
    <t>Fornitura di 65 cuffie telefoniche per il personale in telelavoro 2020-2021.</t>
  </si>
  <si>
    <t>EZDIRECT SRL</t>
  </si>
  <si>
    <t>‭Z722DC6F37‬</t>
  </si>
  <si>
    <t>Rinnovo convenzione Banca dati Italgiureweb 01 agosto 2020 - 31 luglio 2021.</t>
  </si>
  <si>
    <t>CORTE SUPREMA DI CASSAZIONE</t>
  </si>
  <si>
    <t>‭Z1E2DF1D74‬</t>
  </si>
  <si>
    <t>Acquisizione server virtuale per conservazione materiale bibliografico,1 settembre 2020 - 31 dicembre 2021.</t>
  </si>
  <si>
    <t>ARUBA SPA</t>
  </si>
  <si>
    <t>‭Z002DA1DB3‬</t>
  </si>
  <si>
    <t>Test sierologici per il personale e la Commissione sede di Roma entro il 31 dicembre 2020.</t>
  </si>
  <si>
    <t>BIOS SPA</t>
  </si>
  <si>
    <t>‭834585516C‬</t>
  </si>
  <si>
    <t>Servizio di formazione e action learning area Fintech per attività istituzionale Consob 2020-2021.</t>
  </si>
  <si>
    <t>Politecnico di Milano - Dipartimento di Ingegneria Gestionale</t>
  </si>
  <si>
    <t>POLITECNICO DI MILANO</t>
  </si>
  <si>
    <t>Z802DA1414</t>
  </si>
  <si>
    <t>Fornitura di n. 1 PC portatile mod. HP EliteBook 840 G6 Notebook con 4G LTE</t>
  </si>
  <si>
    <t>08954150960</t>
  </si>
  <si>
    <t>HP Italy S.r.l.</t>
  </si>
  <si>
    <t>84054848D2</t>
  </si>
  <si>
    <t xml:space="preserve">Gara pubblicazioni periodiche italiane ed estere </t>
  </si>
  <si>
    <t>33-PROCEDURA NEGOZIATA PER AFFIDAMENTI SOTTO SOGLIA</t>
  </si>
  <si>
    <t>Celdes S.r.l.*EBSCO information Services S.r.l.</t>
  </si>
  <si>
    <t>02938930589</t>
  </si>
  <si>
    <t>Celdes S.r.l.</t>
  </si>
  <si>
    <t>ZD42E4FAE</t>
  </si>
  <si>
    <t>Acquisizione del servizio Oracle per la pianificazione, la programmazione ed il reporting</t>
  </si>
  <si>
    <t xml:space="preserve">ORACLE ITALIA S.R.L. </t>
  </si>
  <si>
    <t>845637770E</t>
  </si>
  <si>
    <t>Posto opratore e aggiornamento centrali telefoniche</t>
  </si>
  <si>
    <t>01604010353*09319261005</t>
  </si>
  <si>
    <t>MEAD INFORMATICA S.R.L.*TECHNO CENTER S.P.A.</t>
  </si>
  <si>
    <t>Z702E54F67</t>
  </si>
  <si>
    <t xml:space="preserve">Servizi di verifica dell'impianto elettrico di messa a terra della Sede Consob di Roma </t>
  </si>
  <si>
    <t>E.L.T.I. S.R.L.</t>
  </si>
  <si>
    <t>840896409E</t>
  </si>
  <si>
    <t>CONTRATTO per il servizio di gestione di un piano  FLEXIBLE BENEFIT in favore del personale della CONSOB (Lotto 2 CIG 8085365E42  della procedura aperta  svolta da Banca d'Italia per conto della Consob)</t>
  </si>
  <si>
    <t>EUDAIMON S.P.A.</t>
  </si>
  <si>
    <t>Z7F2D5CAAA</t>
  </si>
  <si>
    <t>Incontro annuale della CONSOB con il mercato finanziario: integrazione servizi del 16.06.2020.</t>
  </si>
  <si>
    <t>09337161005</t>
  </si>
  <si>
    <t>MULTIDESIGN SRL</t>
  </si>
  <si>
    <t>83540647B2</t>
  </si>
  <si>
    <t>Acquisizione subscription Liferay ex art. 60 del d.lgs. n. 50/2016 tramite protocollo di intesa e accordo attuativo tra BdI-IVASS-CONSOB</t>
  </si>
  <si>
    <t>03304900263</t>
  </si>
  <si>
    <t>SMC TREVISO S.R.L.</t>
  </si>
  <si>
    <t>Z822E82AC8</t>
  </si>
  <si>
    <t>Servizi di posta elettronica certificata 1/10/2020-30/9/2021</t>
  </si>
  <si>
    <t>Z8823DD126</t>
  </si>
  <si>
    <t>07516911000</t>
  </si>
  <si>
    <t>Autostrade per l'Italia spa</t>
  </si>
  <si>
    <t>7911853BA1</t>
  </si>
  <si>
    <t>Fornitura di switch, componenti accessori e servizi complementari</t>
  </si>
  <si>
    <t>04606020875*02504501210*05032840968*00488410010*02517580920</t>
  </si>
  <si>
    <t>ETT di Torrisi felice &amp; Co. Sas*Gepinformatica Srl*Maticmind Spa*Tim Spa*Windtre Spa</t>
  </si>
  <si>
    <t>Z062AF6F03</t>
  </si>
  <si>
    <t>Corso di formazione in n. 30 giornate per il personale della Divisione Infrastrutture Informative</t>
  </si>
  <si>
    <t>00518460019</t>
  </si>
  <si>
    <t>Politecnico di Torino</t>
  </si>
  <si>
    <t>8272047521</t>
  </si>
  <si>
    <t>03901021000*07200021009*04991070485*02787771217*01647310562*13008381009</t>
  </si>
  <si>
    <t>GIOLITTI CATERING SRL*LA PICCOLA GIAN.DES.*PIRENE SRL* RI.CA. SRL*PROMOTUSCIA VIAGGI E CONGRESSI SRL*VERTEC SRL</t>
  </si>
  <si>
    <t>GIOLITTI CATERING SRL</t>
  </si>
  <si>
    <t>Z192E82AEA</t>
  </si>
  <si>
    <t>Servizi per la gestione integrata della salute e della sicurezza sui luoghi di lavoro presso la sede di Roma (contratto "ponte") servizi tecnici e formativi</t>
  </si>
  <si>
    <t>Z992E82C14</t>
  </si>
  <si>
    <t xml:space="preserve">Servizi per la gestione integrata della salute e della sicurezza sui luoghi di lavoro presso la sede di Roma (contratto "ponte") sorveglianza sanitaria </t>
  </si>
  <si>
    <t xml:space="preserve">SINTESI SANITA' SRL </t>
  </si>
  <si>
    <t>TELECOM ITALIA SPA</t>
  </si>
  <si>
    <t>‭8506596915‬</t>
  </si>
  <si>
    <t>Manutenzione prodotti software "Axway Gateway" biennio 2021-2022.</t>
  </si>
  <si>
    <t>AXWAY SRL</t>
  </si>
  <si>
    <t>ICE DATA SERVICES ITALY S.R.L.</t>
  </si>
  <si>
    <t>‭Z442F0AA66‬</t>
  </si>
  <si>
    <t>Servizi di abonamento al notiziario "Ansa" anno 2021</t>
  </si>
  <si>
    <t>ANSA AGENZIA NAZIONALE STAMPA ASSOCIATA-ANSA</t>
  </si>
  <si>
    <t>‭Z2A2F21216‬</t>
  </si>
  <si>
    <t>Honeywell - Manutenzione del sistema controllo accessi e rilevazione presenze per gli anni 2021 e 2022.</t>
  </si>
  <si>
    <t>HONEYWELL SRL</t>
  </si>
  <si>
    <t>ASCA: ASKANEWS SPA</t>
  </si>
  <si>
    <t>‭8494733B6C‬</t>
  </si>
  <si>
    <t>MEPA - Servizio di manutenzione dei sistemi HPE, 01-gennaio 2021 - 31 dicembre 2024 - 2 offerte</t>
  </si>
  <si>
    <t>04472901000*05231661009</t>
  </si>
  <si>
    <t>Converge S.p.A.*R1 S.p.A.</t>
  </si>
  <si>
    <t>CONVERGE SPA</t>
  </si>
  <si>
    <t>IL SOLE 24 ORE SPA</t>
  </si>
  <si>
    <t>‭Z562EC1B97‬</t>
  </si>
  <si>
    <t>Servizio di abbonamento alla banca dati "DCM Manager" anno 2021.</t>
  </si>
  <si>
    <t>‭Z832F0EE5D‬</t>
  </si>
  <si>
    <t>Banca dati "Custom Benchmarking Services" anno 2021 e 2022</t>
  </si>
  <si>
    <t>‭Z2F2F946B7‬</t>
  </si>
  <si>
    <t>Test sierologici Roma per il periodo dal 1° gennaio 2021 al 30 giugno 2021.</t>
  </si>
  <si>
    <t>‭Z772F740D3‬</t>
  </si>
  <si>
    <t>Registrazione al Social Science Reserch Network ((SSRN), triennio 2021-2024.</t>
  </si>
  <si>
    <t>ELSEVIER SCIENCE</t>
  </si>
  <si>
    <t>GENIO BUSINESS SRL</t>
  </si>
  <si>
    <t>‭Z7C2FE28FA‬</t>
  </si>
  <si>
    <t>Rinnovo n.8 utenze notiziario "Breakingviews" anno 2021.</t>
  </si>
  <si>
    <t>INFRONT ITALIA SRL</t>
  </si>
  <si>
    <t>Z772EA24AE</t>
  </si>
  <si>
    <t>Fornitura di n. 800 righelli,in legno da 30 cm con grafica personalizzata;</t>
  </si>
  <si>
    <t>07109591003</t>
  </si>
  <si>
    <t>Piresti Srl</t>
  </si>
  <si>
    <t>‭Z442F2E40D‬</t>
  </si>
  <si>
    <t>Rinnovo abbonamento notiziario Alliance News anni 2021 e 2022.</t>
  </si>
  <si>
    <t>ALLIANCE NEWS ITALIAN SERVICE</t>
  </si>
  <si>
    <t>‭8458188D88‬</t>
  </si>
  <si>
    <t>Acquisizione n. 7 server HPE convenzione Consip "Tecnologia Server 2" (lotto 4) ed estensione a 5 anni del servizio di manutenzione.</t>
  </si>
  <si>
    <t>‭845817854A‬</t>
  </si>
  <si>
    <t>Acquisizione n. 3 server Dell convenzione Consip "Tecnologia Server 2" (lotto 2) ed estensione a 5 anni del servizio di manutenzione.</t>
  </si>
  <si>
    <t> 8474297B1A</t>
  </si>
  <si>
    <t>Adesione a Convenzione Consip per l'acquisto di 200 pc</t>
  </si>
  <si>
    <t>05773090013</t>
  </si>
  <si>
    <t>ITD Solution SpA</t>
  </si>
  <si>
    <t>8522514908</t>
  </si>
  <si>
    <t>Servizio di manutenzione per i sistemi DELL presso le sedi Consob di Roma e Milano</t>
  </si>
  <si>
    <t>05032840968*04472901000*05231661009</t>
  </si>
  <si>
    <t>Maticmind S.p.A*Converge S.p.A.*R1 S.p.A.</t>
  </si>
  <si>
    <t>028127106002</t>
  </si>
  <si>
    <t>Bsistemi SRL</t>
  </si>
  <si>
    <t>77610740E0</t>
  </si>
  <si>
    <t>outsourcing servizi di sviluppo, manutenzione e gestione dei sistemi informativi della Consob - Lotto 2</t>
  </si>
  <si>
    <t>08450891000*05982771007*10121480015*03976440242</t>
  </si>
  <si>
    <t>Almaviva Spa*Eustema Spa*Consorzio Reply* S.M.I. Technology and Consulting S.r.l.</t>
  </si>
  <si>
    <t>02-mandataria*01-mandante*01-mandante*01-mandante*</t>
  </si>
  <si>
    <t>7761072F35</t>
  </si>
  <si>
    <t>outsourcing servizi di svilupo, manutenzione e gestione dei sistemi informativi della Consob - Lotto 1</t>
  </si>
  <si>
    <t>00967720285*01442240030*06310880585*07090920583</t>
  </si>
  <si>
    <t>Engineering Ingegneria Informatica S.p.A*IBM ITALIA S.p.A.*Sistemi Informativi S.r.l.*Open System S.r.l.</t>
  </si>
  <si>
    <t xml:space="preserve">ZF22E88E95 </t>
  </si>
  <si>
    <t>Fornitura e posa in opera paratie in plexiglass per le postazioni di lavoro delle stanze
620, 621 e 622 della sede Consob di Roma</t>
  </si>
  <si>
    <t>04075031007</t>
  </si>
  <si>
    <t>NEONANGHER SRL</t>
  </si>
  <si>
    <t xml:space="preserve">Z632EB2513 </t>
  </si>
  <si>
    <t>Fornitura di licenza Autocad LT 2021 (sottoscrizione triennale)</t>
  </si>
  <si>
    <t>03929361008</t>
  </si>
  <si>
    <t>DESCOR</t>
  </si>
  <si>
    <t>8483663C2B</t>
  </si>
  <si>
    <t>Accordo quadro affidamento incarico responsabile amianto 2020-2022 per le esigenze della Consob e dell'AGCM</t>
  </si>
  <si>
    <t>8483703D2D</t>
  </si>
  <si>
    <t>Contratto attuativo Consob - affidamento incarico responsabile amianto 2020-2022</t>
  </si>
  <si>
    <t>84065253E3</t>
  </si>
  <si>
    <t xml:space="preserve">Fornitura Netapp per il rinnovo tecnologico e il potenziamento delle unità di storage RM-MI </t>
  </si>
  <si>
    <t>08131200969*01442240030*02006010165*02508100928*01803850401</t>
  </si>
  <si>
    <t xml:space="preserve">ASYSTEL ITALIA SPA*IBM ITALIA SPA*PROJECT INFORMATICA SRL *TISCALI ITALIA *VEM SISTEMI SPA </t>
  </si>
  <si>
    <t>01803850401</t>
  </si>
  <si>
    <t xml:space="preserve">VEM SISTEMI SPA </t>
  </si>
  <si>
    <t>ZEA2F65A09</t>
  </si>
  <si>
    <t>Fornitura di 23.000 mascherine chirurgiche per le sedi di Roma e Milano</t>
  </si>
  <si>
    <t>02111430357</t>
  </si>
  <si>
    <t xml:space="preserve">THD SpA </t>
  </si>
  <si>
    <t>ZD92E9ECBC</t>
  </si>
  <si>
    <t>Convenzione con Policlinico Universitario Campus Bio-Medico per l'effettuazione di tamponi rino-faringei per il personale Consob di Roma</t>
  </si>
  <si>
    <t>Policlinico Universiatrio Campus Bio-Medico di Roma</t>
  </si>
  <si>
    <t>ZE82F30382</t>
  </si>
  <si>
    <t>Convenzione per l’effettuazione di vaccini antinfluenzali per il personale Consob della sede di Roma</t>
  </si>
  <si>
    <t>01202150320</t>
  </si>
  <si>
    <t>Generali Welion S.c.a.r.l.</t>
  </si>
  <si>
    <t>‭ZA7309B8D6‬</t>
  </si>
  <si>
    <t>Servizio di postalizzazione host to host, marzo 2021-febbraio 2023.</t>
  </si>
  <si>
    <t>‭ZB630244F7‬</t>
  </si>
  <si>
    <t>Acquisizione licenze GoToMeeting (100 Business, 1 Pro, 2 Plus ) per 12 mesi.</t>
  </si>
  <si>
    <t>LOGMEIN IRELAND LIMITED</t>
  </si>
  <si>
    <t>‭Z81301D698‬</t>
  </si>
  <si>
    <t>Convenzione per l'effettuazione dei tamponi rapidi e molecolari dipendenti di Roma, 2021.</t>
  </si>
  <si>
    <t>ARTEMISIA SPA</t>
  </si>
  <si>
    <t>‭Z6A307BE29‬</t>
  </si>
  <si>
    <t>Tamponi rapidi Farmacia Bagnarelli sede di Roma.</t>
  </si>
  <si>
    <t>BGNMSM45T07H501X</t>
  </si>
  <si>
    <t>FARMACIA DOTT. MASSIMO BAGNARELLI</t>
  </si>
  <si>
    <t>FARMACIA DR. MASSIMO BAGNARELLI</t>
  </si>
  <si>
    <t>8619032A34</t>
  </si>
  <si>
    <t>Servizio di manutenzione storage NetApp sedi di Roma e Milano 01 maggio 2021 - 31 gennaio 2023.</t>
  </si>
  <si>
    <t>05231661009*02252270398*04108030281</t>
  </si>
  <si>
    <t>R1 S.p.A.*Tomware S.c.a.r.l.*Arslogica Sistemi S.r.l.</t>
  </si>
  <si>
    <t>86391682F7</t>
  </si>
  <si>
    <t>Fornitura apparati per videoconferenze con servizio manutenzione</t>
  </si>
  <si>
    <t>Z0F30F0218</t>
  </si>
  <si>
    <t>Rinnovo atto integrativo al contratto per i “Servizi di assistenza sanitaria e di medicina preventiva per il personale in servizio e in quiescenza della Consob” per la copertura dei rischi legati al Covid-19 per il periodo 1.4.2021- 31.3.2022</t>
  </si>
  <si>
    <t>Cassa PreviMed – Cassa Sanitaria Integrativa al Servizio Sanitario Nazionale</t>
  </si>
  <si>
    <t>8592797866</t>
  </si>
  <si>
    <t>SERVIZIO DI MANUTENZIONE ORDINARIA DELLE LICENZE D'USO SOFTWARE DEMACO 2021-2023 CON OPZIONE PER UN ULTERIORE ANNO</t>
  </si>
  <si>
    <t>8660984618</t>
  </si>
  <si>
    <t>quota CONSOB del contratto per la vigilanza armata fissa presso la sede di Roma comprese aree condominiali CONSOB-AGCM (inclusa opzione di proroga)(CIG derivato CONSOB 8660984618)- Lotto 5 (CIG 8009713045) della gara svolta da BdI in qualità di SA</t>
  </si>
  <si>
    <t>02269520645</t>
  </si>
  <si>
    <t>POLIZIOTTO NOTTURNO S.R.L.</t>
  </si>
  <si>
    <t>8664305AAA</t>
  </si>
  <si>
    <t>Banca dati Bloomberg 2 licenze (RM-MI) 2021-2023  biennale dal 01 giugno 2021 al 31 maggio 2023</t>
  </si>
  <si>
    <t>ATS ADVANCED TECHNOLOGY SOLUTIONS SPA</t>
  </si>
  <si>
    <t>Z0130BDC4C</t>
  </si>
  <si>
    <t>Manutenzione 2 licenze network software Mathematica</t>
  </si>
  <si>
    <t>01408650511</t>
  </si>
  <si>
    <t>ADALTA SNC</t>
  </si>
  <si>
    <t>ZA330BE2B4</t>
  </si>
  <si>
    <t>Abbonamento alla banca dati "Market Connect Feed Argo" 1/3/21-31/8/21</t>
  </si>
  <si>
    <t>10556200961</t>
  </si>
  <si>
    <t>Z983110387</t>
  </si>
  <si>
    <t>Licenza di accesso alle composizioni di indici calcolati da Qontigo-Stoxx sul mercato azionario europeo</t>
  </si>
  <si>
    <t>STOXX  Ltd</t>
  </si>
  <si>
    <t>‭ZBB31312A6‬</t>
  </si>
  <si>
    <t>Abbonamento alla Banca dati Mediaddress dal 30 aprile 2021 al 29 aprile 2023.</t>
  </si>
  <si>
    <t>MEDIADATA S.R.L.</t>
  </si>
  <si>
    <t>Z3530878DF</t>
  </si>
  <si>
    <t>servizio di brokeraggio (senza oneri per Consob) per l'affidamento delle coperture RCT/O e All Risk</t>
  </si>
  <si>
    <t xml:space="preserve">09627810154 </t>
  </si>
  <si>
    <t>VIRAS S.R.L.</t>
  </si>
  <si>
    <t>Z5D2E82B98</t>
  </si>
  <si>
    <t>06979891006</t>
  </si>
  <si>
    <t>86364228E3</t>
  </si>
  <si>
    <t>Servizio sostitutivo di mensa mediante buoni pasto elettronici per la sede Consob di Roma nelle more dell'attivazione della convenzione Consip "Buoni pasto 9"</t>
  </si>
  <si>
    <t>Day Ristoservice S.p.a.</t>
  </si>
  <si>
    <t>85873086BC</t>
  </si>
  <si>
    <t>Sistema dedicato alla vigilanza sui
mercati finanziari (“ARGO PRO”) e rinnovo della relativa convenzione con Borsa Italiana S.p.A.
Italiana S.p.A. 01/09/2021- 28/02/2024.</t>
  </si>
  <si>
    <t>120066470159</t>
  </si>
  <si>
    <t>BORSA ITALIANA S.p.A.</t>
  </si>
  <si>
    <t>12066470159</t>
  </si>
  <si>
    <t>ZC231178BD</t>
  </si>
  <si>
    <t xml:space="preserve">SERVIZI DI COORDINAMENTO PER LA SICUREZZA IN
FASE DI PROGETTAZIONE E DI ESECUZIONE IN RELAZIONE AI LAVORI DI
MANUTENZIONE ORDINARIA DELLA FACCIATA DELL'IMMOBILE SEDE DELLA
CONSOB DI ROMA
</t>
  </si>
  <si>
    <t>ZZDLF74A19F839J*BRSRRT68D21H808U</t>
  </si>
  <si>
    <t>Fazzari Adolfo*Brescia Roberto</t>
  </si>
  <si>
    <t>BRSRRT68D21H808U</t>
  </si>
  <si>
    <t>Brescia Roberto</t>
  </si>
  <si>
    <t>‭Z5C31B69FF‬</t>
  </si>
  <si>
    <t>Servizio di delivery per il notiziario MF Dow Jones Professional dal 01-06-2021 al 31-05-2023.</t>
  </si>
  <si>
    <t>TELPRESS ITALIA SPA</t>
  </si>
  <si>
    <t>‭ZA23175FD7‬</t>
  </si>
  <si>
    <t>Manutenzione assistenza e aggiornamento software TOSCA (Telpress) 09 maggio 2021- 08 maggio 2023.</t>
  </si>
  <si>
    <t>‭ZA1323A7EF‬</t>
  </si>
  <si>
    <t>Manutenzione radiogeni per controllo pacchi e bagagli per la sede di Roma 01 luglio 2021 - 30 giugno 2023.</t>
  </si>
  <si>
    <t>‭8708453ABF‬</t>
  </si>
  <si>
    <t>Servizi relativi alla gestione della sicurezza sul lavoro per la sede di e Roma  (conv. Consip "SIC 4", lotto 6), triennio 2021-2024.</t>
  </si>
  <si>
    <t>03533961003*14530191007*13081080155*10437871006*01764710669*02242161202*07273351002</t>
  </si>
  <si>
    <t>Sintesi spa*Sintesi Sanità srl*Adecco Formazione srl*Archè scarl*CSA Team srl*NIER Ingegneria spa*Projit srl</t>
  </si>
  <si>
    <t>‭ZC631B6927‬</t>
  </si>
  <si>
    <t>Abbonamento al notiziario MF Dow Jones Professional dal 01-06-2021 al 31-05-2023.</t>
  </si>
  <si>
    <t>MF NEWSWIRES SRL</t>
  </si>
  <si>
    <t>‭Z4131CD265‬</t>
  </si>
  <si>
    <t>Test sierologici Roma per il periodo dal 1° luglio 2021 al 31 dicembre 2021.</t>
  </si>
  <si>
    <t>‭863354745E‬</t>
  </si>
  <si>
    <t>Fornitura di energia elettrica per la sede di ROMA 01 maggio 2021 30 aprile 2022 (conv. Consip 'Energia elettrica 18')</t>
  </si>
  <si>
    <t>Enel Energia Spa</t>
  </si>
  <si>
    <t>‭872663248A‬</t>
  </si>
  <si>
    <t>Manutenzione del sistema Oracle SuperCluster (Roma) e 20gg di supporto specialistico a consumo, dal 17 giugno 2021 al 16 luglio 2022.</t>
  </si>
  <si>
    <t>05380651009*03976440242*11673301005</t>
  </si>
  <si>
    <t>KAY SYSTEMS ITALIA SRL*S.M.I. TECHNOLOGIES AND CONSULTING SRL*GWAY SRL</t>
  </si>
  <si>
    <t>KSI: KAY SYSTEMS ITALIA S.R.L.</t>
  </si>
  <si>
    <t>‭Z5A31DFB5A‬</t>
  </si>
  <si>
    <t>Acquisto di licenze di librerie grafiche Vaadin per 10 sviluppatori. dal 07/06/2021 al 06/06/2023</t>
  </si>
  <si>
    <t>‭ZA431B3BB6‬</t>
  </si>
  <si>
    <t>n. 5 lezioni-evento a distanza "Occhio alle truffe! - finanza in palcoscenico".</t>
  </si>
  <si>
    <t>‭Z513154F1B‬</t>
  </si>
  <si>
    <t>Convenzione asili nido anno pedagogico 2021-2022 Roma e Milano.</t>
  </si>
  <si>
    <t>ISTITUTO DI CULTURA E LINGUE MARCELLINE</t>
  </si>
  <si>
    <t>‭8692297666‬</t>
  </si>
  <si>
    <t xml:space="preserve">Acquisizione di una nuova soluzione antimalware, manutenzione e supporto on call e supporto a consumo 2021-2026 (appalto con BDI) - CIG padre 83829640BD </t>
  </si>
  <si>
    <t>INNOVERY S.P.A.</t>
  </si>
  <si>
    <t>8729837962</t>
  </si>
  <si>
    <t>Sistema di gestione documentale e relativi servizi</t>
  </si>
  <si>
    <t>87010437D3</t>
  </si>
  <si>
    <t>Lotto 1 -  Copertura assicurativa della Consob verso terzi e dipendenti (RCT/O)</t>
  </si>
  <si>
    <t>05888011003*00409920584*04341001214*04948660651*06148541219*12021900159*15385261001*05541790654*97819940152*08166591217</t>
  </si>
  <si>
    <t>UNIPOLSAI ASSICURAZIONI SPA*GENERALI ITALIA SPA*ALLIANZ SPA*AXA ASSICURAZIONI SPA* SOCIETÀ REALE MUTUA DI ASSICURAZIONE*VITTORIA ASSICURAZIONI SPA*GROUPAMA ASSICURAZIONI SPA*SARA ASSICURAZIONI SPA*AIG EUROPE S.A.*AMISSIMA ASSICURAZIONI SPA</t>
  </si>
  <si>
    <t>08166591217</t>
  </si>
  <si>
    <t>AMISSIMA ASSICURAZIONI SPA</t>
  </si>
  <si>
    <t>8701130F9C</t>
  </si>
  <si>
    <t>Lotto 2 - Copertura assicurativa contro i rischi al patrimonio mobile e immobile della Consob (ALL RISK PROPERTY)</t>
  </si>
  <si>
    <t>02-MANDATARIA*01-MANDANTE</t>
  </si>
  <si>
    <t>8641415140</t>
  </si>
  <si>
    <t>01934460716*03509710830*02887060792*03075970610*00826160723*02768790616*01332110855*02893080834*02777490307*MNIMRA68A01C347U*05289751009*03897780825*04107310825*08022390010*02763820780</t>
  </si>
  <si>
    <t>CADINVEST S.R.L.*CONSORZIO STABILE VENTIMAGGIO SOCIETA' CONSORTILE A R.L.*ECOTEL ITALIA S.R.L. A SOCIO UNICO*GANOSIS*GIOVANNI PUTIGNANO &amp; FIGLI S.R.L.*GLOBAL SERVICE SOCIETA' COOPERATIVA*LA PLACA ANGELO SRL*LSA SERVIZI S.R.L.*MED SECURITY*MIANO MARIO*NUOVA CCS SRL*PALAZZOLO COSTRUZIONI SRL*SPAMPINATO SAS DI SPAMPINATO FELICE ALESSANDRO*TERRA COSTRUZIONI SRL*TRE M COSTRUZIONI S.R.L.</t>
  </si>
  <si>
    <t>05289751009</t>
  </si>
  <si>
    <t>NUOVA CCS SRL</t>
  </si>
  <si>
    <t>87895863D3</t>
  </si>
  <si>
    <t>Servizi di telefonia mobile (conv. Consip "Telefonia mobile 8")</t>
  </si>
  <si>
    <t>TELECOM ITALIA S.P.A.</t>
  </si>
  <si>
    <t>‭ZD2325F6A3‬</t>
  </si>
  <si>
    <t>Rinnovo convenzione Banca dati Italgiureweb 01 agosto 2021 - 31 luglio 2022.</t>
  </si>
  <si>
    <t>CED Cassazione</t>
  </si>
  <si>
    <t>‭ZF231FF21F‬</t>
  </si>
  <si>
    <t>Rinnovo manutenzione n. 6 licenze software Matlab 01 luglio 2021 - 30 giugno 2022.</t>
  </si>
  <si>
    <t>THE MATHWORKS SRL</t>
  </si>
  <si>
    <t>‭Z8A3154FC3‬</t>
  </si>
  <si>
    <t>CASA DELL APE MAIA SRLS</t>
  </si>
  <si>
    <t>‭Z553291E30‬</t>
  </si>
  <si>
    <t>Affidamento, ai sensi dell'art. 63, comma 2, lett. b), sub 2 e 3, del d.lgs. n. 50/2016 s.m.i., del servizio Market Connect Feed Argo, per il periodo 1 settembre 2021 29 febbraio 2024.</t>
  </si>
  <si>
    <t>‭Z9F31F9623‬</t>
  </si>
  <si>
    <t>Servizi connessi all'organizzazione dell'incontro annuale della Consob con il mercato finanziario del 14 giugno 2021.</t>
  </si>
  <si>
    <t>‭88794398DC‬</t>
  </si>
  <si>
    <t>Progetto I4 - Prototipi AI, TEXT mining e Block chain da 20 settembre 2021 al 20 luglio 2022</t>
  </si>
  <si>
    <t>LEONARDO - SOCIETA' PER AZIONI</t>
  </si>
  <si>
    <t>‭8803523101‬</t>
  </si>
  <si>
    <t>G2-2021 Servizi/Acquisizione di sicurezza informatica contratto-quadro Consip SPC Cloud lotto 2, dal 21 luglio 2021 al 20 luglio 2022.</t>
  </si>
  <si>
    <t>‭884738443E‬</t>
  </si>
  <si>
    <t>Affidamento per l'incarico di formazione data analysis, network science, AI e big data per gli abusi di mercato (18 mesi).</t>
  </si>
  <si>
    <t>SCUOLA NORMALE SUPERIORE</t>
  </si>
  <si>
    <t>‭ZEA3272630‬</t>
  </si>
  <si>
    <t>I6-2021 manutenzione di n. 850 licenze software antispam dal 06 agosto 2021 al 05 agosto 2022.</t>
  </si>
  <si>
    <t>SETEK SRL</t>
  </si>
  <si>
    <t>‭ZB53293133‬</t>
  </si>
  <si>
    <t>Acquisizione di 1 licenza Finereader Server e servizio di manutezione dal 01 agosto 2021 al 31 luglio 2024.</t>
  </si>
  <si>
    <t>ABBYY UK</t>
  </si>
  <si>
    <t>‭8828567BF4‬</t>
  </si>
  <si>
    <t>Affidamento dei lavori di riqualificazione impiantistica dell'auditorium condiviso da Consob e Agcm.</t>
  </si>
  <si>
    <t>*</t>
  </si>
  <si>
    <t>03075970610*05289751009</t>
  </si>
  <si>
    <t>Ganosis srl*Nuova C.C.S.</t>
  </si>
  <si>
    <t>NUOVA C.C.S. S.R.L.</t>
  </si>
  <si>
    <t>‭Z89328A0FA‬</t>
  </si>
  <si>
    <t>Affidamento diretto per la fornitura di n. 300 mouse per i computer assegnati al personale Consob</t>
  </si>
  <si>
    <t>01641800550</t>
  </si>
  <si>
    <t>TECNO OFFICE GLOBAL S.R.L.</t>
  </si>
  <si>
    <t>‭Z103291274‬</t>
  </si>
  <si>
    <t>Affidamento diretto tramite trattativa diretta sul M.E.P.A. per la fornitura di n. 300 tastiere per i computer assegnati al personale della Consob.</t>
  </si>
  <si>
    <t>PLUG-IN SRL</t>
  </si>
  <si>
    <t>‭Z7A33275B8‬</t>
  </si>
  <si>
    <t>Abbonamento al notiziario POLITICOPro</t>
  </si>
  <si>
    <t>POLITICOPRO LTD</t>
  </si>
  <si>
    <t>ZF03307171</t>
  </si>
  <si>
    <t>manutenzione e assistenza Oracle Solaris</t>
  </si>
  <si>
    <t>88483945B8</t>
  </si>
  <si>
    <t>Esercizio dell'opzione di rinnovo del contratto per il servizio di traduzione di atti e documenti inerenti all'attività istituzionale della CONSOB dal 01 ottobre 2021 al 30 settembre 2023.</t>
  </si>
  <si>
    <t>8922079C7F</t>
  </si>
  <si>
    <t>Servizio manutenzione server Oracle anno 2022</t>
  </si>
  <si>
    <t>02048930206*05380651009*02991230588*11673301005</t>
  </si>
  <si>
    <t>KORA SISTEMI INFORMATICI S.R.L.*KAY SYSTEMS ITALIA S.R.L.*GD GRAFIDATA S.R.L.*GWAY S.R.L.</t>
  </si>
  <si>
    <t>02991230588</t>
  </si>
  <si>
    <t>GD GRAFIDATA S.R.L.</t>
  </si>
  <si>
    <t>ZE43304020</t>
  </si>
  <si>
    <t>Convenzione vaccini antinfluenzali</t>
  </si>
  <si>
    <t>GENERALI WELION S.C.A.R.L.</t>
  </si>
  <si>
    <t>88617779B7</t>
  </si>
  <si>
    <t>Servizio di formazione (n. 37 giornate training on the job) finalizzato all'analisi dei dati relativi ai PRIIPs contenuti nei KIDs</t>
  </si>
  <si>
    <t>80209930587</t>
  </si>
  <si>
    <t>Università degli studi di Roma La Sapienza</t>
  </si>
  <si>
    <t>870839393C</t>
  </si>
  <si>
    <t>Accordo commerciale - convenzione “Programma Trenitalia for Business”</t>
  </si>
  <si>
    <t>05403151003</t>
  </si>
  <si>
    <t>Trenitalia S.p.A.</t>
  </si>
  <si>
    <t>‭ZF63362AE6‬</t>
  </si>
  <si>
    <t>Fornitura di n. 5 terminali controllo "Green Pass" sedi Roma e Milano - ODA</t>
  </si>
  <si>
    <t>INFORDATA SISTEMI SRL</t>
  </si>
  <si>
    <t>‭882569276F‬</t>
  </si>
  <si>
    <t>Fornitura dei buoni pasto elettronici per i dipendenti delle sedi di Milano e Roma convenzione Consip 'Buoni pasto 9' - Lotti 1 (Lombardia) e 7 (Lazio) Ottobre 2021 - settembre 2023.</t>
  </si>
  <si>
    <t>01014660417</t>
  </si>
  <si>
    <t>EDENRED ITALIA SRL</t>
  </si>
  <si>
    <t>‭Z473368DD2‬</t>
  </si>
  <si>
    <t>n. 4 lezioni-evento "investimenti al tempo della crisi" progetto edutainment e n. 10 lezioni-evento "Occhio alla truffe" Finanza in palcoscenico 2021 - 2022.</t>
  </si>
  <si>
    <t>‭ZF03368D4A‬</t>
  </si>
  <si>
    <t>n. 4 lezioni-evento "invesimenti al tempo della crisi" progetto edutainment e n. 10 lezioni-evento "Occhio alla truffe" Finanza in palcoscenico 2021 - 2022.</t>
  </si>
  <si>
    <t>ZA233C78A9</t>
  </si>
  <si>
    <t>9000449D77</t>
  </si>
  <si>
    <t>Conv.Consip 'Licenze sw multibrand 3' L3 - Nuove licenze Filenet P8</t>
  </si>
  <si>
    <t>9001550A0B</t>
  </si>
  <si>
    <t>Servizio di supporto e manutenzione delle licenze d'uso Oracle anno 2022</t>
  </si>
  <si>
    <t>‭Z473354C3A‬</t>
  </si>
  <si>
    <t>Procedura negoziata ex art. 63, comma 2, lett. b), sub 3 - Banca dati Infront Professional Terminal - anno 2022.</t>
  </si>
  <si>
    <t>Infront Italia S.r.l.</t>
  </si>
  <si>
    <t>‭Z40335FFBA‬</t>
  </si>
  <si>
    <t>Adesione a CERTFin anno 2022.</t>
  </si>
  <si>
    <t>CONSORZIO ABI LAB - CENTRO DI RICERCA E INNOVAZIONE PER LA BANCA</t>
  </si>
  <si>
    <t>‭ZF53360078‬</t>
  </si>
  <si>
    <t>Adesione a Osservatorio Business Continuity anno 2022.</t>
  </si>
  <si>
    <t>‭ZDA3348E6B‬</t>
  </si>
  <si>
    <t>Procedura negoziata ex art. 63, comma 2, lett. b) sub 3 per l'abbonamento banca dati Telemaco e EBR anno 2022.</t>
  </si>
  <si>
    <t>Infocamere - società consortile di informatica delle camere di commercio italiane per azioni</t>
  </si>
  <si>
    <t>‭Z0F3346378‬</t>
  </si>
  <si>
    <t>Procedura negoziata ex art. 63 comma 2 lett. b) sub 3 per l'affidamento alla Ice data service Italy del servizio di abbonamento alla banca dati BackOnline per l'anno 2022.</t>
  </si>
  <si>
    <t>Ice data service Italy S.r.l.</t>
  </si>
  <si>
    <t>‭ZC233461B6‬</t>
  </si>
  <si>
    <t>Procedura negoziata ex art. 63 comma 2 lett. b sub 3 per l'affidamento alla Ice data service Italy s.r.l. del servizio di abbonamento alla banca dati KeyData loader per l'anno 2022.</t>
  </si>
  <si>
    <t>Ice data service Italy s.r.l.</t>
  </si>
  <si>
    <t>‭Z1C335458A‬</t>
  </si>
  <si>
    <t>Procedura negoziata ex art. 63 comma 2 lett. b) dub 3 per l'affidamento alla Infront Italia s.r.l. del servizio di abbonamento alla Banca dati Market Connect Web - anno 2022.</t>
  </si>
  <si>
    <t>‭ZF7336601D‬</t>
  </si>
  <si>
    <t>Procedura negoziata ex art. 63 comma 2 lett. b sub 3 per l'affidamento alla Genio Business S.r.l. del servizio di accesso alla banca dati "Genio Compliance"</t>
  </si>
  <si>
    <t>Genio Business S.r.l.</t>
  </si>
  <si>
    <t>‭892453466F‬</t>
  </si>
  <si>
    <t>Acquisizione licenze d¿uso SAS mediante la Convenzione CONSIP Licenze Software</t>
  </si>
  <si>
    <t>R1 S.p.A.</t>
  </si>
  <si>
    <t>‭Z0733C1022‬</t>
  </si>
  <si>
    <t>Procedura negoziata senza previa pubblicazione di un bando di gara, ex art. 63, comma 2, lett. b), sub 3 del d.lgs. 50 del 2016 s.m.i. affidamento del servizio di accesso alla banca dati Data Feed Morningstar dalla Morningstar Italy S.r.l.</t>
  </si>
  <si>
    <t>Morningstar Italy S.r.l.</t>
  </si>
  <si>
    <t>BUREAU VAN DIJK EDIZIONI ELETTRONICHE SPA</t>
  </si>
  <si>
    <t>‭ZF833B3F8A‬</t>
  </si>
  <si>
    <t>Acquisizione aggiornamenti software 7xSTATA/16 e 2xSTATA/12 a STATA/17 (9)</t>
  </si>
  <si>
    <t>TSTAT SRL</t>
  </si>
  <si>
    <t>‭889744972F‬</t>
  </si>
  <si>
    <t>Rinnovo della manuntenzione di n. 425 licenze Filenet P8,  dal 01 febbraio 2022 al 31 gennaio 2023.</t>
  </si>
  <si>
    <t>‭88967820C4‬</t>
  </si>
  <si>
    <t>Adesione a convenzione Licenze software multibrand 3 - lotto 4 - Software Redhat durata 36 mesi.</t>
  </si>
  <si>
    <t>‭Z6A33F9179‬</t>
  </si>
  <si>
    <t>Acquisto n. 100 kit smartcard, n. 50.000 marche temporali, 500 codici rinnovo certificati FD.</t>
  </si>
  <si>
    <t>‭8974692620‬</t>
  </si>
  <si>
    <t>Procedura negoziata, senz previa pubblicazione di un bando, ex art. 63, comma 2, lett. b) per il rinnovo del servizio di accesso alla banca dati DMC Manager distribuita da Dealogic Limited</t>
  </si>
  <si>
    <t>dealogic limited</t>
  </si>
  <si>
    <t>‭ZE6339FEFA‬</t>
  </si>
  <si>
    <t>Abbonamento al notiziario ADN Kronos anno 2022.</t>
  </si>
  <si>
    <t>‭Z68339FF55‬</t>
  </si>
  <si>
    <t>Abbonamento al notiziario ASKANEWS anno 2022.</t>
  </si>
  <si>
    <t>‭Z7633A002A‬</t>
  </si>
  <si>
    <t>Abbonamento al notiziario ANSA anno 2022.</t>
  </si>
  <si>
    <t>Noleggio antenna parabolica "ANSA" anno 2022.</t>
  </si>
  <si>
    <t>‭8956145CA6‬</t>
  </si>
  <si>
    <t>Abbonamento notiziario RCO-RADIOCOR anno 2022.</t>
  </si>
  <si>
    <t>‭8983352097‬</t>
  </si>
  <si>
    <t>Refinitiv Italy S.p.A.</t>
  </si>
  <si>
    <t>‭Z59347467F‬</t>
  </si>
  <si>
    <t>Affidamento diretto, ex art. 1, comma 2, lett. a), della legge n. 120 del 2020 per l¿acquisizione di due licenze Financial Refinitiv ad accesso individuale (Eikon Premium) per l¿anno 2022</t>
  </si>
  <si>
    <t>‭Z313459813‬</t>
  </si>
  <si>
    <t>PCCCRL64D24H501K</t>
  </si>
  <si>
    <t>IMPRESA EDILE DI PICCHETTA CARLO</t>
  </si>
  <si>
    <t>‭9058040313‬</t>
  </si>
  <si>
    <t>Servizio di ritiro/prelievo, trasporto, conferimento e smaltimento dei rifiuti presenti nei locali condominiali della sede di Roma + aumento del quinto (euro 9.900,00)</t>
  </si>
  <si>
    <t>00301380663*</t>
  </si>
  <si>
    <t>MARSICA EDILSTRADE S.N.C.*GERICA SRL</t>
  </si>
  <si>
    <t>GERICA SRL</t>
  </si>
  <si>
    <t>‭8924698DC3‬</t>
  </si>
  <si>
    <t>Servizio supporto e manutenzione software Business Object  01 gennaio 2022- 31 dicembre 2023 - 1 offerta</t>
  </si>
  <si>
    <t>SIDI S.r.l.</t>
  </si>
  <si>
    <t>SIDI SRL</t>
  </si>
  <si>
    <t>901466835E</t>
  </si>
  <si>
    <t xml:space="preserve">Manutenzione specialistica MELIS A1 Replace Multi </t>
  </si>
  <si>
    <t>ZE9339FFC9</t>
  </si>
  <si>
    <t>Istituto Poligrafico Zecca dello Stato</t>
  </si>
  <si>
    <t>‭Z58355CD25‬</t>
  </si>
  <si>
    <t>Progetto I1 - n 8 giornate di supporto specialistico prodotto Axway Synchrony Gateway.</t>
  </si>
  <si>
    <t>‭9098344EF9‬</t>
  </si>
  <si>
    <t>Acquisizione di n. 89 caselle di posta elettronica certificata (PEC) e servizio di supporto operativo 01 marzo 2022 - 28 febbraio 2025.</t>
  </si>
  <si>
    <t>CLASSPI S.P.A.</t>
  </si>
  <si>
    <t>‭91507551EA‬</t>
  </si>
  <si>
    <t>Manutenzione e supporto software DPS backup DELL EMC, 22 marzo 2022 - 21 marzo 2024</t>
  </si>
  <si>
    <t>‭9059254CE3‬</t>
  </si>
  <si>
    <t>Servizio di indagine e approfondimento "l'approccio alla finanza e agli investimenti delle famiglie italiane" (GFK) - anno 2022.</t>
  </si>
  <si>
    <t>GFK Italia S.r.l.</t>
  </si>
  <si>
    <t>CAIRORCS MEDIA S.P.A.</t>
  </si>
  <si>
    <t>‭ZE527CA841‬</t>
  </si>
  <si>
    <t>n. 4 Fuel card per la fornitura di carburante autovetture di Roma gennaio 2022 - 30 novembre 2024.</t>
  </si>
  <si>
    <t>ZBC35B7E9A</t>
  </si>
  <si>
    <t>affidamento proroga copertura Covid-19 polizza pandemic</t>
  </si>
  <si>
    <t>Cassa PreviMed
– Cassa Sanitaria Integrativa al Servizio Sanitario Nazionale (già CASSA RBM SALUTE)</t>
  </si>
  <si>
    <t>9074339D6C</t>
  </si>
  <si>
    <t>Banca dati Bloomberg 3 licenze piu allineamento scadenze al 31 maggio 2023</t>
  </si>
  <si>
    <t>9180047E6C</t>
  </si>
  <si>
    <t>Noleggio annuale software Brokerinfo 22-23</t>
  </si>
  <si>
    <t>‭10991370155‬</t>
  </si>
  <si>
    <t>Z4135C3FF0</t>
  </si>
  <si>
    <t>Acquisizione dono ricordo da riconoscere al personale in occasione del trentennale di lavoro</t>
  </si>
  <si>
    <t>03552260246</t>
  </si>
  <si>
    <t>Elmo &amp; Montegrappa S.p.A.</t>
  </si>
  <si>
    <t>ZB235BECA9</t>
  </si>
  <si>
    <t>Percorsi per le Competenze Trasversali e per l’Orientamento (PCTO) – ex Alternanza Scuola-Lavoro – A.S. 2021-2022: Acquisto gadget ricordo per gli studenti</t>
  </si>
  <si>
    <t>07109591003*07563710636</t>
  </si>
  <si>
    <t>Piresti S.r.l.*KuveraS.p.A.</t>
  </si>
  <si>
    <t>07563710636</t>
  </si>
  <si>
    <t>Kuvera S.p.A.</t>
  </si>
  <si>
    <t>‭9011980927‬</t>
  </si>
  <si>
    <t>Servizio di deposito e archiviazione della documentazione istituzionale, sede di Milano (lotto 2) dal 01 maggio 2022 al 30 aprile 2025.</t>
  </si>
  <si>
    <t>06378620014*02782820340*05195930580*07645580965*02054100678*10729070150*04345600482*08934821003</t>
  </si>
  <si>
    <t>ARCOBALENO COOPERATIVA SOCIALE*BATTIONI LOGISTICA S.R.L.*BUCAP S.P.A.*FDM BUSINESS SERVICES S.R.L. A SOCIO UNICO*ISPAR S.R.L.*ITALARCHIVI S.R.L.*MARNO S.R.L.*MOVING SERVICE PARTNERSHIP S.P.A.</t>
  </si>
  <si>
    <t>‭07645580965‬</t>
  </si>
  <si>
    <t>FDM BUSINESS SERVICES S.R.L. A SOCIO UNICO</t>
  </si>
  <si>
    <t>‭901197228F‬</t>
  </si>
  <si>
    <t>Servizio di deposito e archiviazione della documentazione istituzionale, sede di Roma (lotto1) dal 01 maggio 2022 al 30 aprile 2025.</t>
  </si>
  <si>
    <t>11549981006*06378620014*02782820340*05195930580*00700380603*07645580965*02054100678*10729070150*04345600482*08934821003*01198700773</t>
  </si>
  <si>
    <t>ALBA S.R.L.*ARCOBALENO COOPERATIVA SOCIALE*BATTIONI LOGISTICA SRL*BUCAP S.P.A.*DE VELLIS SERVIZI GLOBALI S.R.L.*FDM BUSINESS SERVICES S.R.L.*ISPAR S.R.L.*ITALARCHIVI S.R.L.*MARNO S.R.L.*MOVING SERVICE PARTNERSHIP S.P.A.*STELLA ALL IN ONE S.R.L.</t>
  </si>
  <si>
    <t>‭02782820340‬</t>
  </si>
  <si>
    <t>BATTIONI LOGISTICA</t>
  </si>
  <si>
    <t>89995653FA</t>
  </si>
  <si>
    <t>RDO ACCORDO QUADRO MANUTENZIONE EDILE CONSOB _AGCM 2021 - CIG LOTTO 1 89995653FA - importo comprensivo di rinnovo e proroga tecnica</t>
  </si>
  <si>
    <t>01897170641*00179490594*09944981001*12088001008*02839880594*03858691219*02042860615*01915300162*00241140565*13527681004*03608700617*03004790840*02681960601*06851821212*01502340332*09130041008*00172800781*03015190808*CCRLSN70B18L844B*03921070615</t>
  </si>
  <si>
    <t>AMOROSO GIACOMO &amp; C. S.N.C.*C.E.S.PE. SRL*CMS COSTRUZIONI 2008 SRL*COEFIN S.R.L.*COGEA APPALTI S.R.L.*COSTRUZIONI MERIDIONALI SRL*DI CATERINO GIUSEPPE*EDIL SCAVIL SRL*GALADINI &amp; C. SRL*GHECO COSTRUZIONI GENERALI SRL*GR.AN.APPALTI ITALIA SRL*IMPRESALES S.R.L.*P COSTRUZIONI SRL*P.R. COSTRUZIONI SRL*RI.MA.TEC. S.R.L.*ROMAPPALTI SRL A SOCIO UNICO*SPROVIERI S.R.L.*TUSCANO GROUP SRLS*VONAX GROUP SRLS*ZARA APPALTI SRL</t>
  </si>
  <si>
    <t>03921070615</t>
  </si>
  <si>
    <t>ZARA APPALTI SRL</t>
  </si>
  <si>
    <t>8999615D3A</t>
  </si>
  <si>
    <t>RDO ACCORDO QUADRO MANUTENZIONE EDILE CONSOB _AGCM 2021 - CIG lotto 2 Agcm CIG (8999615D3A) - importo comprensivo di rinnovo e proroga tecnica</t>
  </si>
  <si>
    <t>9273890022</t>
  </si>
  <si>
    <t>CONTRATTO ATTUATIVO ACCORDO QUADRO MANUTENZIONE EDILE CONSOB _AGCM 2021 LOTTO 1 (CIG derivato dal CIG 89995653FA) - importo comprensivo di rinnovo e proroga tecnica</t>
  </si>
  <si>
    <t>ZED34CF920</t>
  </si>
  <si>
    <t>Servizio di assistenza tecnica e manutenzione software per la macchina
affrancatrice Ascom Hasler Smile per l’anno 2022</t>
  </si>
  <si>
    <t>03094350612</t>
  </si>
  <si>
    <t>AGVAUTOMAZIONE S.A.S DI ANTONINO DI FEOLA E C.</t>
  </si>
  <si>
    <t>ZED33F6462</t>
  </si>
  <si>
    <t>Convenzione tamponi molecolari Roma (Covid-19)</t>
  </si>
  <si>
    <t>97087620585</t>
  </si>
  <si>
    <t>Campus Bio-Medico di Roma</t>
  </si>
  <si>
    <t>Z8633C1FBC</t>
  </si>
  <si>
    <t>Convenzione tamponi rapidi e tamponi molecolari Roma (Covid-19)</t>
  </si>
  <si>
    <t>00768340580</t>
  </si>
  <si>
    <t>Artemisia S.p.a.</t>
  </si>
  <si>
    <t>ZB133D13B2</t>
  </si>
  <si>
    <t>Convenzione tamponi rapidi Roma (Covid-19)</t>
  </si>
  <si>
    <t>01066780584</t>
  </si>
  <si>
    <t>Farmacia Dott. Massimo Bagnarelli</t>
  </si>
  <si>
    <t>8993899040</t>
  </si>
  <si>
    <t>Fornitura di apparati Netapp per il potenziamento dello storage di Roma</t>
  </si>
  <si>
    <t>01680600333*02717790212*05231661009*04755861004*02508100928</t>
  </si>
  <si>
    <t>Be team srl*NTS Italy srl*R1 spa*Softway srl*Tiscali Italia spa</t>
  </si>
  <si>
    <t>R1 spa</t>
  </si>
  <si>
    <t>ZDA3441D15</t>
  </si>
  <si>
    <t>Convenzione test sierologici Roma (Covid-19)</t>
  </si>
  <si>
    <t>Bios Spa</t>
  </si>
  <si>
    <t>Formazione Intelligenza Artificiale destinata al personale della DIF, Febbraio-luglio 2022.</t>
  </si>
  <si>
    <t>ZC432F5117</t>
  </si>
  <si>
    <t>Acquisizione di dispositivi di
connessione di rete (“switch”),
componenti accessori e servizi
complementari per le infrastrutture
informatiche delle sedi di Roma e Milano</t>
  </si>
  <si>
    <t>02824320176*05032840968*00488410010*01803850401</t>
  </si>
  <si>
    <t>Lutech spa*Matic Mind spa*Telecom Italia spa*Vem Sistemi spa</t>
  </si>
  <si>
    <t>Z2E3490AAB</t>
  </si>
  <si>
    <t>Fornitura carburante - Sede Consob di Roma (AQ Consip "Fuel Card 2")</t>
  </si>
  <si>
    <t>Italiana Petroli spa</t>
  </si>
  <si>
    <t>02052230394</t>
  </si>
  <si>
    <t>Z5333D74EB</t>
  </si>
  <si>
    <t>Rinnovo licenza di esercizio applicativo "Trend Micro Deep Discovery" e servizio di supporto remoto</t>
  </si>
  <si>
    <t>03349070361</t>
  </si>
  <si>
    <t xml:space="preserve">IFICONSULTING srl </t>
  </si>
  <si>
    <t>ZE3333B247</t>
  </si>
  <si>
    <t>Fornitura della fornitura della piattaforma telematica di negoziazione “TuttoGare”</t>
  </si>
  <si>
    <t>01850570746</t>
  </si>
  <si>
    <t>Studio Amica srlu</t>
  </si>
  <si>
    <t>Noleggo di nr. 3 Ford Focus per le sedi Consob di Roma e di Milano</t>
  </si>
  <si>
    <t>Fornitura di buoni pasto elettronici per il personale della sede Consob di Roma</t>
  </si>
  <si>
    <t>Edenred Italia Srl</t>
  </si>
  <si>
    <t>08106710158</t>
  </si>
  <si>
    <t>9163194AE4</t>
  </si>
  <si>
    <t>Z1834F2191</t>
  </si>
  <si>
    <t>N. 40 abbonamenti annuali digitali al servizio "la Repubblica +" 15/02/2022-14/02/2023</t>
  </si>
  <si>
    <t>GEDI Digital srl</t>
  </si>
  <si>
    <t>Z22352784A</t>
  </si>
  <si>
    <t>Fornitura di quotidiani e periodici cartacei presso la sede Consob di Roma 2022/23</t>
  </si>
  <si>
    <t>Z38359611A</t>
  </si>
  <si>
    <t>N. 30 abbonamenti digitali annuali al 'Corriere della Sera' 2022/23</t>
  </si>
  <si>
    <t>‭Z69365B6AC‬</t>
  </si>
  <si>
    <t>Rinnovo manutenzione licenze software Matlab 01 07 2022 - 30 06 2023.</t>
  </si>
  <si>
    <t>‭08333270018‬</t>
  </si>
  <si>
    <t>‭924589411A‬</t>
  </si>
  <si>
    <t>Licenze software e servizi accessori, convenzione ''Microsoft Enterprise Agreement 6'' (MSEA 6) - dal 01 luglio 2022 al 30 giugno 2025</t>
  </si>
  <si>
    <t>‭00488410010‬</t>
  </si>
  <si>
    <t>‭ZE13597DFC‬</t>
  </si>
  <si>
    <t>Rinnovo gestionale WMS (WorldShare Management Services) per la Biblioteca, 01 maggio 2022 - 30 aprile 2024.</t>
  </si>
  <si>
    <t>‭04011340488‬</t>
  </si>
  <si>
    <t>OCLC S.R.L.</t>
  </si>
  <si>
    <t>‭Z933451D75‬</t>
  </si>
  <si>
    <t>Software Liferay Enterprise Search di Produzione dal 01-06-2022 al 31-05-2024.</t>
  </si>
  <si>
    <t>‭03304900263‬</t>
  </si>
  <si>
    <t>‭ZA136CA6B0‬</t>
  </si>
  <si>
    <t>Affidamento diretto, previo confronto tra preventivi, per l'acquisizione di n. 13 giornate di formazione per il personale della DIF per gestire, amministrare e manutenere la piattaforma RedHat Openshift.</t>
  </si>
  <si>
    <t>11702620151*07165600961</t>
  </si>
  <si>
    <t>Fast Lane S.r.l.*Extraordy S.r.l.</t>
  </si>
  <si>
    <t>‭‬</t>
  </si>
  <si>
    <t>‭'922993929E‬</t>
  </si>
  <si>
    <t>Acquisizione di n. 22 sottoscrizioni triennali RedHat mediante adesione alla</t>
  </si>
  <si>
    <t>Converge S.p.A.</t>
  </si>
  <si>
    <t>‭04472901000‬</t>
  </si>
  <si>
    <t>‭Z38359611A‬</t>
  </si>
  <si>
    <t>N. 30 abbonamenti digitali al Corriere della Sera 16/04/2022-15/04/2023</t>
  </si>
  <si>
    <t>RCS MEDIAGROUP SPA</t>
  </si>
  <si>
    <t>‭12086540155‬</t>
  </si>
  <si>
    <t>‭Z2835F1697‬</t>
  </si>
  <si>
    <t>Affidamento diretto per la fornitura di n. 2 bandiere da esterno da installare presso la sede di Roma.</t>
  </si>
  <si>
    <t>Savent S.r.l.</t>
  </si>
  <si>
    <t>‭13246131000‬</t>
  </si>
  <si>
    <t>SAVENT SRL</t>
  </si>
  <si>
    <t>‭Z103619A2C‬</t>
  </si>
  <si>
    <t>Affidamento diretto ex art. 1, comma 2, lett. a) per la realizzazione di quattro indagini fondate sulla metodologia del focus group.</t>
  </si>
  <si>
    <t>Eumetra MR S.r.l.</t>
  </si>
  <si>
    <t>‭09194440963‬</t>
  </si>
  <si>
    <t>EUMETRA MONTEROSA SRL</t>
  </si>
  <si>
    <t>‭00768340580‬</t>
  </si>
  <si>
    <t>‭Z7A3623539‬</t>
  </si>
  <si>
    <t>Convenzione tamponi rapidi e molecolari dipendenti di Roma dal 01 luglio 2022 al 31 dicembre 2022.</t>
  </si>
  <si>
    <t>Artemisia Spa</t>
  </si>
  <si>
    <t>‭Z6436BB7AE‬</t>
  </si>
  <si>
    <t>Affidamento diretto riparazione n.2 pc portatili</t>
  </si>
  <si>
    <t>VMWAY SRL</t>
  </si>
  <si>
    <t>‭Z8135B91FF‬</t>
  </si>
  <si>
    <t>Riparazione n.5 pc portatili non in garanzia.</t>
  </si>
  <si>
    <t>‭922907057E‬</t>
  </si>
  <si>
    <t>Buoni pasto elettronici dipendenti di Roma - Adesione alla convenzione Consip "Buoni pasto 9", Lotto 7, giugno 2022 - settembre 2023.</t>
  </si>
  <si>
    <t>REPAS LUNCH COUPON</t>
  </si>
  <si>
    <t>‭08122660585‬</t>
  </si>
  <si>
    <t>REPAS LUNCH COUPON SRL</t>
  </si>
  <si>
    <t>‭Z91366ACC4‬</t>
  </si>
  <si>
    <t>Fornitura di n. 500 badge e n. 500 cordini per  evento discorso al mercato del 21 giugno 2022.</t>
  </si>
  <si>
    <t>ABC MARKETING SRL</t>
  </si>
  <si>
    <t>‭ZC363C9826‬</t>
  </si>
  <si>
    <t>Convenzione Tamponi rapidi Farmacia Bagnarelli (RM) - 2° semestre 2022</t>
  </si>
  <si>
    <t>‭Z1D3618D02‬</t>
  </si>
  <si>
    <t>‭04066840283‬</t>
  </si>
  <si>
    <t>‭92583529C2‬</t>
  </si>
  <si>
    <t>Servizio di supporto in materia di feed-back sui comportamenti manageriali biennio 2022 2023.</t>
  </si>
  <si>
    <t>GIUNTI Psychometrics S.r.l.</t>
  </si>
  <si>
    <t>‭00421250481‬</t>
  </si>
  <si>
    <t>GIUNTI PSYCHOMETRICS S.R.L.</t>
  </si>
  <si>
    <t>‭Z1B36D41C3‬</t>
  </si>
  <si>
    <t>Affidamento diretto per l'acquisizione di n. 1250 licenze antispam Libraesva, 06 agosto 2022 - 05 agosto 2023.</t>
  </si>
  <si>
    <t>‭06984320017‬</t>
  </si>
  <si>
    <t>SHOW.IT S.R.L.</t>
  </si>
  <si>
    <t>‭ZCF36CD276‬</t>
  </si>
  <si>
    <t>affidamento diretto del servizio di gestione e organizzazione presso l'Hotel Forum di Roma in occasione di un incontro istituzionale del G7 Cyber Expert Group</t>
  </si>
  <si>
    <t>Cesare Augusto S.p.A.</t>
  </si>
  <si>
    <t>‭00393870589‬</t>
  </si>
  <si>
    <t>CESARE AUGUSTO SOCIETA PER AZIONI</t>
  </si>
  <si>
    <t>92618017F7</t>
  </si>
  <si>
    <t>9262365964</t>
  </si>
  <si>
    <t>Servizio di supporto specialistico RedHat (n. 796 Consultant Unit)</t>
  </si>
  <si>
    <t>Z5A36897DD</t>
  </si>
  <si>
    <t>Servizio di asilo nido anno pedagogico 2022-2023 senza obbligo di convenzionamento da parte Consob</t>
  </si>
  <si>
    <t>Z3736CDF6B</t>
  </si>
  <si>
    <t>Acquisizione di servizi e dotazioni tecnologiche per utilizzo del Congress Centre di Palazzo mezzanotte sede di Borsa Italiana per i giorni 20 -21 giugno 2022</t>
  </si>
  <si>
    <t>BIT MARKET SERVICES S.P.A.</t>
  </si>
  <si>
    <t>9252857326</t>
  </si>
  <si>
    <t>Servizio di cassa in favore della Consob - esercizio opzione di rinnovo</t>
  </si>
  <si>
    <t>Servizi di assistenza sanitaria e di medicina preventiva (check-up) per il personale in servizio e in quiescenza della Consob -  (procedura aperta  svolta da Banca d'Italia per conto di Consob, AGCM e ACN - CIG 9022882DC3)</t>
  </si>
  <si>
    <t>94053730266</t>
  </si>
  <si>
    <t>Cassa Previgen Assistenza</t>
  </si>
  <si>
    <t>Fastlane S.r.l.</t>
  </si>
  <si>
    <t>‭‬11702620151</t>
  </si>
  <si>
    <t>Affidamento diretto ex art. 1, comma 2, lett. a), d.l. 76/2020, conv. in l. 120/2020, tramite ordine di acquisto sul M.E.P.A, per l'acquisizione di n. 1.500 licenze antivirus Symantec</t>
  </si>
  <si>
    <t>ITS S.r.l. - società unipersonale</t>
  </si>
  <si>
    <t>*09194440963</t>
  </si>
  <si>
    <t>*04066840283</t>
  </si>
  <si>
    <t>Supporto specialistico sulla piattaforma Filenet P8</t>
  </si>
  <si>
    <t>Arslogica sistemi srl*GD Grafidata srl*Kay Systems italia srl*R1 spa*SMI technologies and consulting srl</t>
  </si>
  <si>
    <t>Z303678E9A</t>
  </si>
  <si>
    <t>Z8436E7D57</t>
  </si>
  <si>
    <t>Convenzione test sierologico, tamponi rapidi e tamponi molecolari Roma (Covid-19) II semestre 2022</t>
  </si>
  <si>
    <t>ZC636C9826</t>
  </si>
  <si>
    <t>Convenzione tamponi rapidi Roma (Covid-19) - II semestre 2022</t>
  </si>
  <si>
    <t>00421250481</t>
  </si>
  <si>
    <t>Manutenzione Oracle Premier Support per SC M7 (supercluster)</t>
  </si>
  <si>
    <t>Convenzione Campus Bio-Medico tamponi molecolari Roma (Covid-19) - II semestre 2022</t>
  </si>
  <si>
    <t>ZA818BC4EB</t>
  </si>
  <si>
    <t>PAGAMENTO BOLLO MAGGIO-AGOSTO 2020</t>
  </si>
  <si>
    <t>ALD AUTOMOTIVE ITALIA SRL</t>
  </si>
  <si>
    <t>‭Z2A3707689‬</t>
  </si>
  <si>
    <t>Rinnovo convenzione Banca dati Italgiureweb 01 agosto 2022 - 31 luglio 2023.</t>
  </si>
  <si>
    <t>‭940903989B‬</t>
  </si>
  <si>
    <t>Affidamento del servizio di migrazione del software Brokerinfo ad Euronext FASE1, fine attività marzo 2023.</t>
  </si>
  <si>
    <t>A.T.S. S.p.A.</t>
  </si>
  <si>
    <t>DITTA TORRENTI DAVIDE</t>
  </si>
  <si>
    <t>‭Z9A37BE311‬</t>
  </si>
  <si>
    <t>‭08586300157‬</t>
  </si>
  <si>
    <t>Contributo per progetto di ricerca sperimentale relazione consulente-cliente (attivazione accordo siglato nel mese di febbraio 2022)</t>
  </si>
  <si>
    <t>‭04400441004‬</t>
  </si>
  <si>
    <t>UNIVERSITA' DEGLI STUDI DI ROMA TRE</t>
  </si>
  <si>
    <t>‭933765088A‬</t>
  </si>
  <si>
    <t>Autorizzazione esercizio opzione rinnovo stampa e consegna pubblicazioni istituzionali dal12.08.2022 all'11.08.2023</t>
  </si>
  <si>
    <t>‭07155490589‬</t>
  </si>
  <si>
    <t>‭9324904237‬</t>
  </si>
  <si>
    <t>affidamento del servizio di monitoraggio dati (rassegna stampa) dal 01/10/2022 al 31/12/2023</t>
  </si>
  <si>
    <t>Data Stampa S.r.l.</t>
  </si>
  <si>
    <t>DATA STAMPA SRL</t>
  </si>
  <si>
    <t>Z4E372EFD1</t>
  </si>
  <si>
    <t>Contratto esecutivo di Accordo Quadro per servizio di brokeraggio (polizze RCT e All Risk)</t>
  </si>
  <si>
    <t>9426497F65</t>
  </si>
  <si>
    <t>31-AFFIDAMENTO DIRETTO PER VARIANTE SUPERIORE AL 20% DELL'IMPORTO CONTRATTUALE</t>
  </si>
  <si>
    <t>36-AFFIDAMENTO DIRETTO PER LAVORI, SERVIZI O FORNITURE SUPPLEMENTARI</t>
  </si>
  <si>
    <t>GFK S.r.l.</t>
  </si>
  <si>
    <t>02-PROCEDURA RISTRETTA</t>
  </si>
  <si>
    <t>05-DIALOGO COMPETITIVO</t>
  </si>
  <si>
    <t>06-PROCEDURA NEGOZIATA SENZA PREVIA INDIZIONE DI GARA (SETTORI SPECIALI)</t>
  </si>
  <si>
    <t>07-SISTEMA DINAMICO DI ACQUISIZIONE</t>
  </si>
  <si>
    <t>14-PROCEDURA SELETTIVA EX ART 238 C.7, D.LGS. 163/2006</t>
  </si>
  <si>
    <t>17-AFFIDAMENTO DIRETTO EX ART. 5 DELLA LEGGE 381/91</t>
  </si>
  <si>
    <t>21-PROCEDURA RISTRETTA DERIVANTE DA AVVISI CON CUI SI INDICE LA GARA</t>
  </si>
  <si>
    <t>22-PROCEDURA NEGOZIATA CON PREVIA INDIZIONE DI GARA (SETTORI SPECIALI)</t>
  </si>
  <si>
    <t>24-AFFIDAMENTO DIRETTO A SOCIETA' IN HOUSE</t>
  </si>
  <si>
    <t>25-AFFIDAMENTO DIRETTO A SOCIETA' RAGGRUPPATE/CONSORZIATE O CONTROLLATE NELLE CONCESSIONI E NEI PARTENARIATI</t>
  </si>
  <si>
    <t>27-CONFRONTO COMPETITIVO IN ADESIONE AD ACCORDO QUADRO/CONVENZIONE</t>
  </si>
  <si>
    <t>28-PROCEDURA AI SENSI DEI REGOLAMENTI DEGLI ORGANI COSTITUZIONALI</t>
  </si>
  <si>
    <t>29-PROCEDURA RISTRETTA SEMPLIFICATA</t>
  </si>
  <si>
    <t>30-PROCEDURA DERIVANTE DA LEGGE REGIONALE</t>
  </si>
  <si>
    <t>32-AFFIDAMENTO RISERVATO</t>
  </si>
  <si>
    <t>34-PROCEDURA ART.16 COMMA 2-BIS DPR 380/2001 PER OPERE URBANIZZAZIONE A SCOMPUTO PRIMARIE SOTTO SOGLIA COMUNITARIA</t>
  </si>
  <si>
    <t>35-PARTERNARIATO PER L’INNOVAZIONE</t>
  </si>
  <si>
    <t>37-PROCEDURA COMPETITIVA CON NEGOZIAZIONE</t>
  </si>
  <si>
    <t>38-PROCEDURA DISCIPLINATA DA REGOLAMENTO INTERNO PER SETTORI SPECIALI</t>
  </si>
  <si>
    <t>01-MANDANTE</t>
  </si>
  <si>
    <t>02-MANDATARIA</t>
  </si>
  <si>
    <t>03-ASSOCIATA</t>
  </si>
  <si>
    <t>04-CAPOGRUPPO</t>
  </si>
  <si>
    <t>05-CONSORZIATA</t>
  </si>
  <si>
    <t>MARSH SPA</t>
  </si>
  <si>
    <t>01699520159</t>
  </si>
  <si>
    <t>ZE337B1732</t>
  </si>
  <si>
    <t>Revisione del quaderno di finanza "attitudine alla pianificazione finanziaria delle famigle italiane"</t>
  </si>
  <si>
    <t xml:space="preserve">LITTLE CYNTHIA  </t>
  </si>
  <si>
    <t>Z1137462A9</t>
  </si>
  <si>
    <t>Revisione specialistica del discorso del Presidente al mercato</t>
  </si>
  <si>
    <t>ROSETTA EPIFANI</t>
  </si>
  <si>
    <t>PFNRTT69C43E379B</t>
  </si>
  <si>
    <t>Z8037C8E1</t>
  </si>
  <si>
    <t>GIUFFRE FRANCIS LEFEBVRE</t>
  </si>
  <si>
    <t>00829840156</t>
  </si>
  <si>
    <t>Abbonamento banca dati De Jure triennale (1/10/22-30/9/25)</t>
  </si>
  <si>
    <t>Z1E37F11C0</t>
  </si>
  <si>
    <t>ZE8372AB83</t>
  </si>
  <si>
    <t>Fornitura di camicie per il personale dei servizi generali</t>
  </si>
  <si>
    <t>Fornitura di n. 7000 mascherine FFP2</t>
  </si>
  <si>
    <t>TESSIL FORNITURE S.R.L.</t>
  </si>
  <si>
    <t>POLONORD ADESTE SRL</t>
  </si>
  <si>
    <t>00889410247</t>
  </si>
  <si>
    <t>9334750F60</t>
  </si>
  <si>
    <t>Acquisizione licenze d'uso e servizi associati a prodotti Checkpoint per la cybersecurity mediante procedura negoziata ex art. 1, c. 2, lett. b) della legge 120 del 2020 s.m.i.</t>
  </si>
  <si>
    <t>9309038D2A</t>
  </si>
  <si>
    <t>SPC Cloud - Lotto 2 - luglio - dicembre 2022</t>
  </si>
  <si>
    <t>GD Grafidata S.r.l.* IFI Consulting S.r.l.* S3K S.p.A.</t>
  </si>
  <si>
    <t>02991230588*03349070361*15379561002</t>
  </si>
  <si>
    <t>00401990585</t>
  </si>
  <si>
    <t>Z1537111AC</t>
  </si>
  <si>
    <t>‭Z1E36CAD8A</t>
  </si>
  <si>
    <t xml:space="preserve">riparazione del radiogeno installato presso l’ingresso di via Martini della sede Consob di Roma </t>
  </si>
  <si>
    <t>Servizi Refinitiv 2022</t>
  </si>
  <si>
    <t>Abbonamento al notiziario Italian News Service anno 2022</t>
  </si>
  <si>
    <t>Corso di formazione "Tecniche di Problem Solving"</t>
  </si>
  <si>
    <t>Z6036E1488</t>
  </si>
  <si>
    <t>Docenza nel corso di formazione "Tecniche di Problem Solving e Time Management"  2/5/22</t>
  </si>
  <si>
    <t>ZCB36E14F0</t>
  </si>
  <si>
    <t>PATRIZIA: CINTI</t>
  </si>
  <si>
    <t>GESTIONE 3C S.R.L. UNIPERSONALE</t>
  </si>
  <si>
    <t>5806926AEB</t>
  </si>
  <si>
    <t>Adesione alla convenzione Consip "Facility Management 3", Lotto 2 per le sedi di Milano</t>
  </si>
  <si>
    <t xml:space="preserve">05850080630*06751431211 </t>
  </si>
  <si>
    <t>RTI ROMEO GESTIONI SPA*CONSORZIO STABILE ROMEO FACILITY SERVICES 2010</t>
  </si>
  <si>
    <t>9398359B30</t>
  </si>
  <si>
    <t>Servizio di supporto nella gestione delle prove scritte in occasione delle procedure concorsuali bandite dalla Consob per l’assunzione di personale di ruolo di “Vice Assistente” e “Operatore”</t>
  </si>
  <si>
    <t>03053880922</t>
  </si>
  <si>
    <t>Sp Selezione Personale Srl</t>
  </si>
  <si>
    <t>Z7C375C01D</t>
  </si>
  <si>
    <t>Generali Welion Scarl</t>
  </si>
  <si>
    <t>931916958A</t>
  </si>
  <si>
    <t>Servizio di supporto nella gestione delle prove di preselezione e delle prove scritte in occasione delle procedure concorsuali bandite dalla Consob per l’assunzione di personale di ruolo nel segmento professionale di “esperto”</t>
  </si>
  <si>
    <t>Selexi srl</t>
  </si>
  <si>
    <t>9354423A0E</t>
  </si>
  <si>
    <t>Campagna di vaccinazione antinfluenzale n. 235 vaccini 2022-2023 per il personale Consob delle sedi di Roma e di Milano</t>
  </si>
  <si>
    <t>CONSOB - Divisione Amministrazione</t>
  </si>
  <si>
    <t/>
  </si>
  <si>
    <t>Z8037C8E81</t>
  </si>
  <si>
    <t>Acquisizione banca dati DEJURE</t>
  </si>
  <si>
    <t>GIUFFRE' FRANCIS LEFEBVRE S.p.A.</t>
  </si>
  <si>
    <t>Z00384FC55</t>
  </si>
  <si>
    <t>Acquisto di una licenza Corporate Account della durata di 24 mesi della banca dati "Statista"</t>
  </si>
  <si>
    <t>STATISTA GMBH</t>
  </si>
  <si>
    <t>9549070DD6</t>
  </si>
  <si>
    <t>Manutenzione annuale di n. 425 licenze e fornitura nuove licenze sw Filenet P8 - Convenzione Consip “Licenze Software Multibrand 4” Lotto 3</t>
  </si>
  <si>
    <t>ITALWARE SRL</t>
  </si>
  <si>
    <t>94296129FB</t>
  </si>
  <si>
    <t>ZB9381781F</t>
  </si>
  <si>
    <t>Z413817822</t>
  </si>
  <si>
    <t>Manutenzione licenze software Oracle per l'anno 2023</t>
  </si>
  <si>
    <t>ORACLE ITALIA S.R.L.</t>
  </si>
  <si>
    <t>Attivazione collegamento videostreaming e gestione servizio di regia per il seminario Financial regulatory and supervisory authorities facing the Metaverse, del 13 ottobre 2022</t>
  </si>
  <si>
    <t>acquisizione del servizio di assistenza in sala e accoglienza ospiti per il convegno“financial regulatory and supervisory authorities facing the metaverse” del 13 ottobre 2022</t>
  </si>
  <si>
    <t>Luiss Guido Carli</t>
  </si>
  <si>
    <t>ZA93805A6A</t>
  </si>
  <si>
    <t>ZE537E4F54</t>
  </si>
  <si>
    <t>Z263805776</t>
  </si>
  <si>
    <t>Z37380591A</t>
  </si>
  <si>
    <t>Z6138056B2</t>
  </si>
  <si>
    <t>9433607AC2</t>
  </si>
  <si>
    <t>Z9B3805995</t>
  </si>
  <si>
    <t>Z873805A13</t>
  </si>
  <si>
    <t>Servizio di accesso alle banche dati Telemaco e EBR</t>
  </si>
  <si>
    <t>Servizio di accesso alla banca dati Data feed Morningstar</t>
  </si>
  <si>
    <t>Servizio di accesso alla banca dati Genio Compliance</t>
  </si>
  <si>
    <t>01739090460</t>
  </si>
  <si>
    <t>Servizio di accesso alla banca dati Market Connect web</t>
  </si>
  <si>
    <t>Servizio di accesso alla banca dati Infront Professional Terminal</t>
  </si>
  <si>
    <t>Servizio di accesso agli applicativi informativi Orbis</t>
  </si>
  <si>
    <t>11139860156</t>
  </si>
  <si>
    <t>Servizio di accesso alla banca dati Key data loader</t>
  </si>
  <si>
    <t>10100001006</t>
  </si>
  <si>
    <t>Servizio di accesso alla banca dati Back online</t>
  </si>
  <si>
    <t>946276370E</t>
  </si>
  <si>
    <t>Z0B38BBDE7</t>
  </si>
  <si>
    <t>Z883880057</t>
  </si>
  <si>
    <t>ZF8388011D</t>
  </si>
  <si>
    <t>Z8238801AA</t>
  </si>
  <si>
    <t>ZA1388022D</t>
  </si>
  <si>
    <t>94832934F3</t>
  </si>
  <si>
    <t>ZE43880296</t>
  </si>
  <si>
    <t>9510773A28</t>
  </si>
  <si>
    <t>95523218A7</t>
  </si>
  <si>
    <t>95522584AB</t>
  </si>
  <si>
    <t>Adesione alla convenzione Consip 'Licenze Software Multibrand 4' L 4- licenze annuali Red Hat</t>
  </si>
  <si>
    <t>Acquisto di licenze d'uso e servizi associati a prodotti Checkpoint per la cybersecurity</t>
  </si>
  <si>
    <t>IFICONSULTING SRL</t>
  </si>
  <si>
    <t>Incarico di responsabile rischio amianto</t>
  </si>
  <si>
    <t>IOMMI GIANLUCA</t>
  </si>
  <si>
    <t>notiziario ANSA</t>
  </si>
  <si>
    <t>00876481003</t>
  </si>
  <si>
    <t>ANSA AGENZIA NAZIONALE STAMPA ASSOCIATA</t>
  </si>
  <si>
    <t>notiziario BREAKINGVIEWS</t>
  </si>
  <si>
    <t>10295850969</t>
  </si>
  <si>
    <t>notiziario ASKANEWS</t>
  </si>
  <si>
    <t>01719281006</t>
  </si>
  <si>
    <t>ASKANEWS SPA ASCA</t>
  </si>
  <si>
    <t>notiziario ADNKRONOS</t>
  </si>
  <si>
    <t>00897471009</t>
  </si>
  <si>
    <t>ADNKRONOS SOCIETA' PER AZIONI AGENZIA GIORNALISTICA DI INFORMAZIONI</t>
  </si>
  <si>
    <t>notiziario RADIOCOR</t>
  </si>
  <si>
    <t>notiziario ITALIAN NEWS SERVICE</t>
  </si>
  <si>
    <t>Servizio di accesso banca dati “Custom Benchmarking Services”</t>
  </si>
  <si>
    <t>MARKIT GROUP LIMITED</t>
  </si>
  <si>
    <t xml:space="preserve">Acquisizione due licenze Morningstar Direct </t>
  </si>
  <si>
    <t>Acquisizione una licenza Sustainalytics – Data Feed E Global Access</t>
  </si>
  <si>
    <t>Z8B3814095</t>
  </si>
  <si>
    <t>Z033836C2</t>
  </si>
  <si>
    <t>94346263AC</t>
  </si>
  <si>
    <t>ZEC38EBE72</t>
  </si>
  <si>
    <t>Z4138B667D</t>
  </si>
  <si>
    <t>9340982632</t>
  </si>
  <si>
    <t>Fornitura, a noleggio per 72 mesi, di una macchina affrancatrice postale mod. PostBase 30</t>
  </si>
  <si>
    <t>10495590159</t>
  </si>
  <si>
    <t>ITALIANA AUDION SRL</t>
  </si>
  <si>
    <t>Servizio di gestione, con relativa assistenza tecnica, dell’impianto audio-video dell'Auditorium Consob per eventi del 24 e 28 ottobre 202</t>
  </si>
  <si>
    <t>Manutenzione server Oracle 2023</t>
  </si>
  <si>
    <t>04108030281</t>
  </si>
  <si>
    <t>ARSLOGICA SISTEMI</t>
  </si>
  <si>
    <t>Servizio di manutenzione di n.3 licenze Synchrony Gateway del software Axway su</t>
  </si>
  <si>
    <t>05116320150</t>
  </si>
  <si>
    <t>Abbonamento pubblicazioni periodiche italiane ed estere 2023-24</t>
  </si>
  <si>
    <t>EBSCO INFORMATION SERVICES S.R.L.</t>
  </si>
  <si>
    <t>ZC03924F2B</t>
  </si>
  <si>
    <t>ZE43925107</t>
  </si>
  <si>
    <t>Adesione 2023 al CERTFin in qualità di componente della Constituency</t>
  </si>
  <si>
    <t>Adesione 2023 all’Osservatorio sulla Business continuity</t>
  </si>
  <si>
    <t>95486936BC</t>
  </si>
  <si>
    <t>proroga del contratto esecutivo stipulato in adesione alla convenzione Consip SPC Cloud Lotto 2 “Servizi Cloud”</t>
  </si>
  <si>
    <t>00881841001</t>
  </si>
  <si>
    <t>Z9A380856F</t>
  </si>
  <si>
    <t>9506086E51</t>
  </si>
  <si>
    <t>Z35383B665</t>
  </si>
  <si>
    <t>Z473803A1E</t>
  </si>
  <si>
    <t>ZA5392CB46</t>
  </si>
  <si>
    <t>Z3238FB660</t>
  </si>
  <si>
    <t>ZDC3854E2E</t>
  </si>
  <si>
    <t>potenziamento infrastrutture di rete server farm</t>
  </si>
  <si>
    <t>14559061008</t>
  </si>
  <si>
    <t>CYBER-BEE S.R.L.</t>
  </si>
  <si>
    <t>MANUTENZIONE NETAPP</t>
  </si>
  <si>
    <t>10324250157</t>
  </si>
  <si>
    <t>EVERNEX ITALIA SRL</t>
  </si>
  <si>
    <t>ORACLE SOLARIS</t>
  </si>
  <si>
    <t>04624690634</t>
  </si>
  <si>
    <t>I.T.M. INFORMATICA TELEMATICA MERIDIONALE SRL</t>
  </si>
  <si>
    <t>CERTIFICATI GEOTRUST (N.3)</t>
  </si>
  <si>
    <t>01214540559</t>
  </si>
  <si>
    <t xml:space="preserve">TRUST ITALIA S.P.A. </t>
  </si>
  <si>
    <t>LICENZE T-STATA</t>
  </si>
  <si>
    <t>01501640666</t>
  </si>
  <si>
    <t>Servizi attuariali funzionali all'aggiornamento dell'accantonamento a garanzia del trattamento pensionistico integrativo</t>
  </si>
  <si>
    <t>06920691000</t>
  </si>
  <si>
    <t>Studio ACRA - Associazione per la Consulenza e la Ricerca Attuariale</t>
  </si>
  <si>
    <t>notiziario SOLE 24 ORE</t>
  </si>
  <si>
    <t>5 licenze LUCIDCHART</t>
  </si>
  <si>
    <t>Lucid Software Inc.</t>
  </si>
  <si>
    <t>Z5039496C1</t>
  </si>
  <si>
    <t>INTERVENTI DI MANUTENZIONE ORDINARIA DELLE TENDE PRESSO LA SEDE CONSOB DI ROMA</t>
  </si>
  <si>
    <t>Esercizio opzione rinnovo annuale del servizio di manutenzione  licenze software DEMACO</t>
  </si>
  <si>
    <t>Integrazione del servizio di indagine e approfondimento "l'approccio alla finanza e agli investimenti delle famiglie italiane" (GFK) - anno 2022.</t>
  </si>
  <si>
    <t>‭‬4982350581</t>
  </si>
  <si>
    <t>15379561002*03349070361</t>
  </si>
  <si>
    <t>S3K SPA*IFICONSULTING SRL</t>
  </si>
  <si>
    <t>KAY SYSTEMS ITALIA S.R.L. KSI*Gway S.r.l.*S.M.I. TECHNOLOGIES AND CONSULTING S.R.L.*SPRING FIRM S.R.L.*ARSLOGICA SISTEMI*G.D. GRAFIDATA SRL</t>
  </si>
  <si>
    <t>05380651009*11673301005*03976440242*00879420321*04108030281*02991230588</t>
  </si>
  <si>
    <t>11164410018*01137991004*00924421001</t>
  </si>
  <si>
    <t>EBSCO INFORMATION SERVICES S.R.L.*CELDES SRL*LIBRERIA P.TOMBOLINI DI CARLA SANTORI TOMBOLINI E VINCENZO ORIETI E C.</t>
  </si>
  <si>
    <t xml:space="preserve">Luiss Guido Carli </t>
  </si>
  <si>
    <t xml:space="preserve">INFOCAMERE - SOCIETA' CONSORTILE DI INFORMATICA DELLE CAMERE DI COMMERCIO ITALIANE PER AZIONI </t>
  </si>
  <si>
    <t xml:space="preserve">MORNINGSTAR ITALY SRL </t>
  </si>
  <si>
    <t xml:space="preserve">GENIO BUSINESS SRL </t>
  </si>
  <si>
    <t xml:space="preserve">INFRONT ITALIA SRL </t>
  </si>
  <si>
    <t xml:space="preserve">BUREAU VAN DIJK EDIZIONI ELETTRONICHE SPA </t>
  </si>
  <si>
    <t xml:space="preserve">ICE DATA SERVICES ITALY S.R.L. </t>
  </si>
  <si>
    <t xml:space="preserve">ANSA AGENZIA NAZIONALE STAMPA ASSOCIATA </t>
  </si>
  <si>
    <t xml:space="preserve">REUTERS NEWS &amp; MEDIA ITALIA S.R.L. </t>
  </si>
  <si>
    <t xml:space="preserve">ASKANEWS SPA ASCA </t>
  </si>
  <si>
    <t xml:space="preserve">ADNKRONOS SOCIETA' PER AZIONI AGENZIA GIORNALISTICA DI INFORMAZIONI </t>
  </si>
  <si>
    <t xml:space="preserve">MARKIT GROUP LIMITED </t>
  </si>
  <si>
    <t xml:space="preserve">CYBER-BEE S.R.L. </t>
  </si>
  <si>
    <t xml:space="preserve">EVERNEX ITALIA SRL </t>
  </si>
  <si>
    <t xml:space="preserve">I.T.M. INFORMATICA TELEMATICA MERIDIONALE SRL </t>
  </si>
  <si>
    <t xml:space="preserve">TRUST ITALIA S.P.A.  </t>
  </si>
  <si>
    <t xml:space="preserve">IL SOLE 24 ORE SPA </t>
  </si>
  <si>
    <t xml:space="preserve">Lucid Software Inc. </t>
  </si>
  <si>
    <t xml:space="preserve">Pezzilli&amp;co </t>
  </si>
  <si>
    <t>9515351C0A</t>
  </si>
  <si>
    <t>Servizio di manutenzione delle centrali telefoniche</t>
  </si>
  <si>
    <t>TECHNO CENTER S.P.A.*ITEL S.R.L.*LF Impianti srl</t>
  </si>
  <si>
    <t>09319261005*06498610580*07963220152</t>
  </si>
  <si>
    <t>93260861A2</t>
  </si>
  <si>
    <t xml:space="preserve">Servizi di architettura ed ingegneria Consob ed Agcm PIANO PRIMO INTERRATO </t>
  </si>
  <si>
    <t>ZC5394D7A0</t>
  </si>
  <si>
    <t>Fornitura di n. 1200 risme di carta A4</t>
  </si>
  <si>
    <t>01469840662</t>
  </si>
  <si>
    <t>INGROSCART SRL</t>
  </si>
  <si>
    <t>09337161005‬</t>
  </si>
  <si>
    <t xml:space="preserve"> IFI Consulting S.r.l.</t>
  </si>
  <si>
    <t>Z813917727</t>
  </si>
  <si>
    <t>Servizi di bonifica ambientale presso alcuni ambienti della sede Consob di Roma</t>
  </si>
  <si>
    <t>08080691002</t>
  </si>
  <si>
    <t>Soluzione PA S.r.l.</t>
  </si>
  <si>
    <t>Appalto specifico per il potenziamento e l'evoluzione infrastrutturale delle database machine presso le sedi Consob</t>
  </si>
  <si>
    <t>9437103FBE</t>
  </si>
  <si>
    <t>Noleggio - senza conducente - di 3 autovetture Fiat Tipo hb hybrid 1.5 130cv dct 7m tipo 5p, per le esigenze delle sedi Consob di Roma e Milano</t>
  </si>
  <si>
    <t>07540411001</t>
  </si>
  <si>
    <t>ZB23862654</t>
  </si>
  <si>
    <t>"Contratto-ponte" con la società Rent2go srl, per il noleggio senza conducente di n. 3 autovetture, della validità di sei mesi</t>
  </si>
  <si>
    <t>02963700212</t>
  </si>
  <si>
    <t>Rent2go Srl</t>
  </si>
  <si>
    <t>Z8A38C3C4C</t>
  </si>
  <si>
    <t>Servizio di locazione di spazi arredati e attrezzati per ospitare lo svolgimento delle
prove scritte dei concorsi per l’assunzione di nuovo personale con qualifica di
esperto (profilo giuridico ed economico)</t>
  </si>
  <si>
    <t>Fiera di Roma Srl</t>
  </si>
  <si>
    <t>Z6138C3626</t>
  </si>
  <si>
    <t>Convenzione con la Farmacia Bagnarelli dott. Massimo per l’effettuazione di
tamponi rapidi per il personale Consob delle sedi di Roma</t>
  </si>
  <si>
    <t>Farmacia Bagnarelli dott. Massimo</t>
  </si>
  <si>
    <t>ZA138CF00A</t>
  </si>
  <si>
    <t>Noleggio di distributori automatici di acqua potabile “sfusa”, da posizionare
all’interno delle sedi di Roma e Milano</t>
  </si>
  <si>
    <t>03792180980</t>
  </si>
  <si>
    <t>Acquaviva Spa società benefit</t>
  </si>
  <si>
    <t>Z1C38DBD63</t>
  </si>
  <si>
    <t>Corso di formazione per RLS (32 ore) - Conv. Consip "Gestione salute e sicurezza 4", lotto 6</t>
  </si>
  <si>
    <t>Ripristino delle coperture aggettanti e dei frontalini interni dei terrazzi lato via Monteverdi, sede di Roma con incremento ex art. 26, c.1. DL 50/22 conv. in L.91/22</t>
  </si>
  <si>
    <t>01788080156</t>
  </si>
  <si>
    <t>Axitea s.p.a.*Centralpol s.r.l.*Città di Roma Metronotte Soc. Coop.*CLSTV s.r.l.*Cosmopol s.r.l.*GIAMA s.r.l.*International Security Service Vigilanza s.p.a.* Istituto di Vigilanza Argo s.r.l.*Istituto di Vigilanza dell'Urbe s.p.a.*Metro Security Express s.r.l.* Mondilpol Security s.p.a.* Securitas Metronotte s.r.l.*Security Service s.r.l.*Securpol Group s.r.l. a socio unico*Sicuritalia s.p.a.* Superpol s.r.l.*TVE Vigilanza L. s.r.l.</t>
  </si>
  <si>
    <t>AXA Assicurazioni S.p.A. * Elips Life Ltd sede secondaria italiana*Generali Italia S.p.A.* Poste Vita S.p.A.*Reale Mutua di Assicurazioni*Società Cattolica di Assicurazione società cooperativa* UnipolSai Assicurazioni S.p.A</t>
  </si>
  <si>
    <t>00902170018*00320160237*13733431004*00409920584*07066630638*00875360018*00818570012</t>
  </si>
  <si>
    <t>Cyber-Bee S.r.l.*Ilger.com S.r.l.*Show.it S.r.l.</t>
  </si>
  <si>
    <t>14559061008*02256810348*06984320017‬</t>
  </si>
  <si>
    <t>Converge S.p.A.*Gway S.r.l.*Hms It S.r.l.</t>
  </si>
  <si>
    <t>04472901000*11673301005*07776231008</t>
  </si>
  <si>
    <t>04108030281*02991230588*05380651009*05231661009*03976440242</t>
  </si>
  <si>
    <t>Merito Srl*Selexi Srl*SP Selezione Personale Srl</t>
  </si>
  <si>
    <t>02290620992*12852900153*03053880922</t>
  </si>
  <si>
    <t>Selexi srl*SP Selezione Personale srl</t>
  </si>
  <si>
    <t>12852900153*03053880922</t>
  </si>
  <si>
    <t>02-mandataria*01-mandante*01-mandante*01-mandante</t>
  </si>
  <si>
    <t>SARA ASSICURAZIONI SPA*AMISSIMA ASSICURAZIONI SPA</t>
  </si>
  <si>
    <t>05541790654*08166591217</t>
  </si>
  <si>
    <t>Kuwait Petroleum Italia S.p.A</t>
  </si>
  <si>
    <t>00391130580</t>
  </si>
  <si>
    <t>00399810589</t>
  </si>
  <si>
    <t>00929440592</t>
  </si>
  <si>
    <t xml:space="preserve"> 00435970587</t>
  </si>
  <si>
    <t xml:space="preserve"> 00393870589</t>
  </si>
  <si>
    <t>00933570327</t>
  </si>
  <si>
    <t>01164670455</t>
  </si>
  <si>
    <t>10977060960</t>
  </si>
  <si>
    <t xml:space="preserve"> 02082040680</t>
  </si>
  <si>
    <t xml:space="preserve">01067231009
</t>
  </si>
  <si>
    <t>02556430987</t>
  </si>
  <si>
    <t>03269680967</t>
  </si>
  <si>
    <t>03558340406</t>
  </si>
  <si>
    <t>03918090154</t>
  </si>
  <si>
    <t>04552920482</t>
  </si>
  <si>
    <t>06566820152</t>
  </si>
  <si>
    <t xml:space="preserve">
05850080630</t>
  </si>
  <si>
    <t>07201450587</t>
  </si>
  <si>
    <t>08333270018</t>
  </si>
  <si>
    <t>P. NEGOZIATA ex ART. 1, COMMA 2, LETT. B), D.L.
76/2020, CONV. IN L. 120/2020 PER AFFIDAMENTO LAVORI DI
RIQUALIFICAZIONE IMPIANTISTICA DELL’AUDITORIUM CONDIVISO DA
CONSOB E AGCM PRESSO L’IMMOBILE SITO IN ROMA + aumento del quinto per euro 17.575,79</t>
  </si>
  <si>
    <t>12138740159</t>
  </si>
  <si>
    <t>00282140029-02937770960-03351210756-00709092583* 08450891000*10121480015* 
12339020153-04113150967-00831370432*10111831003-00513990010-03945320962-06432561006*00967720285-01899910242-00929440592-09826481005-02334550288 * 06310880585-07374190580-05982771007</t>
  </si>
  <si>
    <t>HP Enterprise Services Italia S.r.l. - Multivendor Service S.r.l. - Links Management and Technology S.p.A.- Open System S.r.l.* Almaviva S.p.A. - Consorzio Reply Public Sector* Aubay Italia S.p.A. - Techedge S.p.A. - Ots S.p.A.* Selex Es S.p.A. - NTT Data Italia S.p.A. - Deloitte Consulting S.r.l. - E-Security S.r.l.* Engineering Ingegneria Informatica S.p.A. - Engeneering.MO S.p.A. - Infordata S.p.A. - Olisystem ITQ Consulting S.p.A. - SIAV S.p.A.* Sistemi Informativi S.r.l. - DDWAY S.r.l. - Eustema S.p.A.</t>
  </si>
  <si>
    <t>02-MANDATARIA - 01 MANDANTE - 01 MANDANTE - 01 MANDANTE* 02  - MANDATARIA - 05 - CONSORZIATA - 02- MANDANTE* 02 - MANDATARIA  - 01  MANDANTE - 01 - MANDANTE* 02 - MANDATARIA - 01 - MANDANTE - 01 - MANDANTE - 01- MANDANTE* 02 - MANDATARIA - 01 - MANDANTE - 01 - MANDANTE - 01 - MANDANTE - 01 - MANDANTE* 02 - MANDATARIA - 01 - MANDANTE - 01 - MANDANTE</t>
  </si>
  <si>
    <t>0000000000</t>
  </si>
  <si>
    <t>Manutenzione sistema controllo accessi e rilevazione presenze 2023-24</t>
  </si>
  <si>
    <t>TELEPASS SPA</t>
  </si>
  <si>
    <t>Pedaggi autostradali per la sede di Roma</t>
  </si>
  <si>
    <t>AUTOSTRADE PER L'ITALIA SPA</t>
  </si>
  <si>
    <t>6754433E6D</t>
  </si>
  <si>
    <t>N. 22 subscription Red Hat Enterprise Linux per&lt;br&gt;Smart Virtualization</t>
  </si>
  <si>
    <t>Servizio di manutenzione degli apparati di rete e acquisizione licenze Fortinet</t>
  </si>
  <si>
    <t>9557252DD6</t>
  </si>
  <si>
    <t>Z5C39AA044</t>
  </si>
  <si>
    <t>Pubblicazione avviso per estratto aggiudicazione servizi Oracle 2023 su "Corriere della sera" ed. locale Roma</t>
  </si>
  <si>
    <t>ZDC39AA073</t>
  </si>
  <si>
    <t>Pubblicazione avviso per estratto aggiudicazione servizi Oracle 2023 su "Il Messaggero" ed. locale Roma</t>
  </si>
  <si>
    <t>Z1839A9F96</t>
  </si>
  <si>
    <t>Pubblicazione avviso per estratto aggiudicazione servizi Oracle 2023 su "Il Tempo" ed. locale Roma e "Il sole 24 ore"</t>
  </si>
  <si>
    <t>ZBF39AAB43</t>
  </si>
  <si>
    <t>Pubblicazione avviso aggiudicazione servizi Oracle 2023 sulla GURI</t>
  </si>
  <si>
    <t>Acquisizione di servizi per eventi del 26 gennaio, 7, 16 e 23 febbraio 2023</t>
  </si>
  <si>
    <t>ZAE39EE8F6</t>
  </si>
  <si>
    <t>Servizio di realizzazione di quattro video lezioni nell'ambito del progetto formativo per adulti dedicate alla finanza sostenibile e alla digitalizzazione del sistema finanziario</t>
  </si>
  <si>
    <t>Autorizzazione per uso a titolo gratuito del sistema di negoziazione in ASP (protocollo di intesa)</t>
  </si>
  <si>
    <t>MEF - DIPARTIMENTO DELLA RAGIONERIA GENERALE DELLO STATO</t>
  </si>
  <si>
    <t>9674904FF5</t>
  </si>
  <si>
    <t>Adesione AQ System Management 3 - ODA Lotto unico (Security Manager)</t>
  </si>
  <si>
    <t>Servizio di manutenzione degli apparati di rete multimarca dell'Istituto e fornitura delle licenze d'uso Fortinet</t>
  </si>
  <si>
    <t>Z2B3A9BBC1</t>
  </si>
  <si>
    <t>Servizio di migrazione Brokerinfo a Euronext fase 2</t>
  </si>
  <si>
    <t>10991370155</t>
  </si>
  <si>
    <t>ZE23A95DEE</t>
  </si>
  <si>
    <t>9735881F26</t>
  </si>
  <si>
    <t>Servizi Refinitiv (n. 4 eikon kiosk, n. 4 italian domestic news, n. 1 DSWS)</t>
  </si>
  <si>
    <t>REFINITIV ITALY SPA</t>
  </si>
  <si>
    <t>Z713A2394B</t>
  </si>
  <si>
    <t>Acquisizione di beni e servizi funzionali allo svolgimento degli eventi del 2 e 10 marzo 2023</t>
  </si>
  <si>
    <t>ZF3399E67A</t>
  </si>
  <si>
    <t>01747500369</t>
  </si>
  <si>
    <t>INTERLANGUAGE SRL</t>
  </si>
  <si>
    <t>ZBE3A3AA1D</t>
  </si>
  <si>
    <t xml:space="preserve">Rispistino imbottitura salotto "Poltrona Frau" </t>
  </si>
  <si>
    <t>ZA83A8E94F</t>
  </si>
  <si>
    <t>Acquisizione di beni e servizi funzionali allo svolgimento, in data 30 marzo 2023, della presentazione Relazione Annuale ACF</t>
  </si>
  <si>
    <t>Z363ABA217</t>
  </si>
  <si>
    <t>Riparazione Densimag di marca Bertello</t>
  </si>
  <si>
    <t>00149440240</t>
  </si>
  <si>
    <t>Ferretto Group</t>
  </si>
  <si>
    <t>Z663A9BAFD</t>
  </si>
  <si>
    <t>Servizio "Telepass con Viacard di conto corrente"</t>
  </si>
  <si>
    <t>Abbonamento banca dati "Bloomberg Professional" SID 2261974 (Milano)</t>
  </si>
  <si>
    <t>ZC43AC4CBA</t>
  </si>
  <si>
    <t>Banca dati Mediaddress 2023-25</t>
  </si>
  <si>
    <t>10701020157</t>
  </si>
  <si>
    <t>MEDIADDRESS S.R.L.</t>
  </si>
  <si>
    <t>9674904F56</t>
  </si>
  <si>
    <t>Adesione AQ ID 2275 - ordine diretto - lotto unico Security Manager</t>
  </si>
  <si>
    <t>9782317F59</t>
  </si>
  <si>
    <t>Contratto-quadro Id 1367 Consip SPC 2 Connettività (interconnessione RM-MI)</t>
  </si>
  <si>
    <t>9674940D0C</t>
  </si>
  <si>
    <t>ZF53874CE1</t>
  </si>
  <si>
    <r>
      <t xml:space="preserve">Noleggio biennale di n. 1 licenza di esercizio dell’applicativo </t>
    </r>
    <r>
      <rPr>
        <i/>
        <sz val="11"/>
        <rFont val="Calibri"/>
        <family val="2"/>
        <scheme val="minor"/>
      </rPr>
      <t>Trend Micro Deep Discovery</t>
    </r>
    <r>
      <rPr>
        <sz val="11"/>
        <rFont val="Calibri"/>
        <family val="2"/>
        <scheme val="minor"/>
      </rPr>
      <t xml:space="preserve"> e del relativo servizio di supporto da remoto</t>
    </r>
  </si>
  <si>
    <t>02991230588*08942951008*03705590580*03318271214</t>
  </si>
  <si>
    <t>G.D. Grafidata srl*ITI Innovazione Tecnologica Italiana srl*Westpole spa*DGS spa</t>
  </si>
  <si>
    <t>G.D. Grafidata srl</t>
  </si>
  <si>
    <t>96432158C1</t>
  </si>
  <si>
    <t>servizi accessori alle piattaforme Cogito</t>
  </si>
  <si>
    <t>04-PROCEDURA NEGOZIATA SENZA PREVIA PUBBLICAZIONE DEL BANDO</t>
  </si>
  <si>
    <t>Expert AI spa</t>
  </si>
  <si>
    <t>9673294EB9</t>
  </si>
  <si>
    <t>rinnovo servizio Microsoft Unified Enterprise Support</t>
  </si>
  <si>
    <t>Microsoft srl</t>
  </si>
  <si>
    <t>9641381F48</t>
  </si>
  <si>
    <t>Servizio di locazione di spazi arredati e attrezzati per ospitare lo svolgimento delle prove scritte dei concorsi per l’assunzione di personale con qualifica di vice assistente e di operatore</t>
  </si>
  <si>
    <t>FIERA ROMA SRL</t>
  </si>
  <si>
    <t>9668074B0C</t>
  </si>
  <si>
    <t>Fornitura di buoni pasto elettronici per i dipendenti delle sedi Consob di Milano e Roma tramite la convenzione Consip “Buoni pasto 9” - lotti 1 (Lombardia) e 7 (Lazio)</t>
  </si>
  <si>
    <t>08122660585</t>
  </si>
  <si>
    <t>Repas Lunch Coupon Srl</t>
  </si>
  <si>
    <t>Z143A8B3B1</t>
  </si>
  <si>
    <t>N. 25 abbonamenti digitali annuali al 'Corriere della Sera' 2023/24</t>
  </si>
  <si>
    <t>Z8739FAE4F</t>
  </si>
  <si>
    <t>Fornitura di quotidiani e periodici cartacei presso la sede Consob di Roma 2023/24</t>
  </si>
  <si>
    <t>Servizi Diffusionali srl</t>
  </si>
  <si>
    <t>Z7B39B7394</t>
  </si>
  <si>
    <t>N. 35 abbonamenti digitali “la Repubblica+” 2023/24</t>
  </si>
  <si>
    <t>ZD63917979</t>
  </si>
  <si>
    <t>Servizio di corriere espresso tra le sedi di Roma e di Milano - Anni 2023-24</t>
  </si>
  <si>
    <t>01114601006</t>
  </si>
  <si>
    <t>ZA63AA0325</t>
  </si>
  <si>
    <t>Visite mediche ed esami di laboratorio per il Personale delle sedi Consob di Roma - Conv. Consip "Gestione salute e sicurezza 4", lotto 6</t>
  </si>
  <si>
    <t>ZED1E1E7E</t>
  </si>
  <si>
    <t>IL SOLE 24 ORE</t>
  </si>
  <si>
    <t>ZF923D298D</t>
  </si>
  <si>
    <t>Servizio di Abbonamento al notiziario "Breakingviews" per l'anno 2019</t>
  </si>
  <si>
    <t>Z6B39A3293</t>
  </si>
  <si>
    <t>'09337161005‬</t>
  </si>
  <si>
    <t>08114020152</t>
  </si>
  <si>
    <t>ZED397B01C</t>
  </si>
  <si>
    <t>servizio di pubblicità GURI tramite avviso aggiudicazione procedura ristretta ex art 55 database machine</t>
  </si>
  <si>
    <t xml:space="preserve">	1.819,65</t>
  </si>
  <si>
    <t>Z53398B2A0</t>
  </si>
  <si>
    <t xml:space="preserve">	pubblicità Italia Oggi avviso aggiudicazione procedura ristretta ex art 55 database machine</t>
  </si>
  <si>
    <t>Adesione AQ ID 2296 - Sicurezza da remoto</t>
  </si>
  <si>
    <t>Manutenzione per gli apparati di rete multimarca dell'Istituto - deserta</t>
  </si>
  <si>
    <t>Servizio di manutenzione degli apparati di rete e acquisizione licenze Fortinet - deserta</t>
  </si>
  <si>
    <t>Z223B4553A</t>
  </si>
  <si>
    <t>Convenzionamento asili nido anno pedagogico 2023/24</t>
  </si>
  <si>
    <t>13464671000</t>
  </si>
  <si>
    <t>9793846963</t>
  </si>
  <si>
    <t>Noleggio software BrokerINFO 2023-2024</t>
  </si>
  <si>
    <t>Z8C3B45658</t>
  </si>
  <si>
    <t>Convenzione asilo nido Milano anno 2023/2024</t>
  </si>
  <si>
    <t>Z9E3A3EA0B</t>
  </si>
  <si>
    <t>Contratto triennale di verifiche periodiche dell'impianto anticaduta "linea vita" presso la sede Consob di Roma</t>
  </si>
  <si>
    <t>Sicher System SRL;#11962</t>
  </si>
  <si>
    <t>11366701008</t>
  </si>
  <si>
    <t>Sicher System SRL</t>
  </si>
  <si>
    <t>9831685320</t>
  </si>
  <si>
    <t>Abbonamento banca dati "Bloomberg Professional" (4 terminali)</t>
  </si>
  <si>
    <t>98317053A1</t>
  </si>
  <si>
    <t>Abbonamento datalicense Bloomberg per security</t>
  </si>
  <si>
    <t>ZBD3B7E0C2</t>
  </si>
  <si>
    <t>Manutenzione software Matlab anno 2023-24</t>
  </si>
  <si>
    <t>The Mathworks S.r.l.</t>
  </si>
  <si>
    <t>Z303BAACBC</t>
  </si>
  <si>
    <t>Pubblicazione bando rassegna stampa</t>
  </si>
  <si>
    <t>Z843BAADCE</t>
  </si>
  <si>
    <t>ZD23BAAE3D</t>
  </si>
  <si>
    <t>IL SOLE 24 ORE S.P.A. SYSTEM COMUNICAZIONE PUBBLICITARIA</t>
  </si>
  <si>
    <t>Z763BAACF9</t>
  </si>
  <si>
    <t>00205740426</t>
  </si>
  <si>
    <t>EDITRICE SIFIC SRL - GAZZETTA ASTE E APPALTI PUBBLICI</t>
  </si>
  <si>
    <t>ZA93B92AB0</t>
  </si>
  <si>
    <t>Pubblicazione bando rassegna stampa GURI</t>
  </si>
  <si>
    <t>00880711007</t>
  </si>
  <si>
    <t>Z553AA4398</t>
  </si>
  <si>
    <t>Fornitura e posa in opera di tende ignifughe presso l'Auditorium della sede Consob di Roma</t>
  </si>
  <si>
    <t>Z753ADE4E1</t>
  </si>
  <si>
    <t>Acquisizione di servizi funzionali allo svolgimento dell’evento del 28 aprile 2023</t>
  </si>
  <si>
    <t>ZBD3B02531</t>
  </si>
  <si>
    <t>Acquisizione di n. 700 badge e di n. 800 cordini anti-soffocamento</t>
  </si>
  <si>
    <t>02108001203</t>
  </si>
  <si>
    <t>Z8B3B233F4</t>
  </si>
  <si>
    <t>Fornitura di n. 2 penne personalizzate con logo Consob</t>
  </si>
  <si>
    <t>ELMO &amp; MONTEGRAPPA SPA</t>
  </si>
  <si>
    <t>Z1C3B2AE02</t>
  </si>
  <si>
    <t>Acquisizione di servizi funzionali allo svolgimento dell’evento AIF del 18 e 19 maggio 2023</t>
  </si>
  <si>
    <t>Z9F3B3AA00</t>
  </si>
  <si>
    <t>Fornitura di n. 2.400 risme di carta ad uso stampa, formato A4</t>
  </si>
  <si>
    <t>ZAB3B524C1</t>
  </si>
  <si>
    <t>Fornitura servizio live streaming evento del 9 giugno 2003 "Incontro annuale della Consob con il mercato finanziario"</t>
  </si>
  <si>
    <t>Company Webcast BV</t>
  </si>
  <si>
    <t>Z9E3B5F021</t>
  </si>
  <si>
    <t xml:space="preserve">Acquisizione di servizi funzionali allo svolgimento dell’evento “Incontro annuale della CONSOB con il mercato finanziario” del 9 giugno 2023 a Milano presso il Congress Centre di Palazzo Mezzanotte sede di Borsa Italiana	</t>
  </si>
  <si>
    <t>11734560961</t>
  </si>
  <si>
    <t>Euronext Corporate Services Italy S.r.l.</t>
  </si>
  <si>
    <t>Z7339D9581</t>
  </si>
  <si>
    <t>acquisizione servizi per arbitro</t>
  </si>
  <si>
    <t>PUNTO REC STUDIOS S.R.L.</t>
  </si>
  <si>
    <t>ZA03A3BB85</t>
  </si>
  <si>
    <t xml:space="preserve">occhio alle truffe </t>
  </si>
  <si>
    <t>Z3F3B49007</t>
  </si>
  <si>
    <t>rinnovo software VAADIN</t>
  </si>
  <si>
    <t>Z613B4D8EC</t>
  </si>
  <si>
    <t>INFOCERT KIT 650 SMARTCARD + 2 KIT GESTIONE</t>
  </si>
  <si>
    <t>Z6B3B81C09</t>
  </si>
  <si>
    <t>SERVIZIO ANTI-TACCHEGGIO BIBLIOTECA</t>
  </si>
  <si>
    <t>ISNG SRL</t>
  </si>
  <si>
    <t>Z7F3BB1D36</t>
  </si>
  <si>
    <t>REVISIONE DISCORSO AL MERCATO DEL PRESIDENTE</t>
  </si>
  <si>
    <t>EPIFANI ROSETTA</t>
  </si>
  <si>
    <t>9884199B0A</t>
  </si>
  <si>
    <t>Accordo quadro congiunto AGCM-CONSOB per servizi gestione e manutenzione impianti audiovideo auditorium</t>
  </si>
  <si>
    <t>9917456F94</t>
  </si>
  <si>
    <t>Elevatori - servizi tecnici per lavori di rifacimento impianti</t>
  </si>
  <si>
    <t>9879987731</t>
  </si>
  <si>
    <t>9867666F92</t>
  </si>
  <si>
    <t xml:space="preserve">Procedura di gara europea aperta telematica per l’affidamento dei servizi di rassegna stampa per la Consob  </t>
  </si>
  <si>
    <t>ZBB3B83294</t>
  </si>
  <si>
    <t>Z5D3B9DD3D</t>
  </si>
  <si>
    <r>
      <t xml:space="preserve">Adesione all'accorso quadro Consip </t>
    </r>
    <r>
      <rPr>
        <i/>
        <sz val="11"/>
        <rFont val="Calibri"/>
        <family val="2"/>
        <scheme val="minor"/>
      </rPr>
      <t>Digital Transformation</t>
    </r>
    <r>
      <rPr>
        <sz val="11"/>
        <rFont val="Calibri"/>
        <family val="2"/>
        <scheme val="minor"/>
      </rPr>
      <t>, lotto 1</t>
    </r>
  </si>
  <si>
    <t>13454210157*13221390159*02508710585</t>
  </si>
  <si>
    <t>Accenture spa*EY Advisory spa*LUISS Guido Carli</t>
  </si>
  <si>
    <t>02-MANDATARIA*01-MANDANTE*01-MANDANTE</t>
  </si>
  <si>
    <t>Z433AEE6FE</t>
  </si>
  <si>
    <t>Fornitura in opera di materiale per il cablaggio della nuova saletta CED - Sede di Milano, via Broletto 7</t>
  </si>
  <si>
    <t>00941910788*01270690587</t>
  </si>
  <si>
    <t>SIELTE spa*La Telefonica srl</t>
  </si>
  <si>
    <t>SIELTE spa</t>
  </si>
  <si>
    <t>98608907D9</t>
  </si>
  <si>
    <t>Appalto Specifico per il rinnovo delle licenze Check Point e servizi accessori</t>
  </si>
  <si>
    <t>02991230588*03349070361</t>
  </si>
  <si>
    <t>G.D Grafidata srl*IFIConsulting srl</t>
  </si>
  <si>
    <t>9046036110</t>
  </si>
  <si>
    <t>9568149E53</t>
  </si>
  <si>
    <t>Adesione offerta Commerciale per il periodo 01.01.2023 - 31.12.2023, relativa al “Programma Trenitalia for Business</t>
  </si>
  <si>
    <t xml:space="preserve">	05403151003</t>
  </si>
  <si>
    <t>Trenitalia SpA</t>
  </si>
  <si>
    <t>Z733909581</t>
  </si>
  <si>
    <t>Estensione adesione al contratto quadro "Servizi di connettività nell'ambito del sistema pubblico di connettività (SPC2)"</t>
  </si>
  <si>
    <t>Fastweb Spa</t>
  </si>
  <si>
    <t>ZB6398B3D1</t>
  </si>
  <si>
    <t>ZA2398B354</t>
  </si>
  <si>
    <t>Z82398B482</t>
  </si>
  <si>
    <t>PIEMME S.p.A - CONCESSIONARIA DI PUBBLICITA'</t>
  </si>
  <si>
    <t xml:space="preserve">	08526500155</t>
  </si>
  <si>
    <t>A. MANZONI &amp; C. SPA</t>
  </si>
  <si>
    <t xml:space="preserve">624314670E </t>
  </si>
  <si>
    <t>Adesione a Convenzione Telefonia Mobile 6 -(trasmigrazione da precedente Convenzione) - 6247691DB3 (noleggio cellulari, router, SIM) - 62485323BA (servizio device management) e proroghe</t>
  </si>
  <si>
    <t>A.MANZONI pubblicazione avviso - Potenziamento DB machine</t>
  </si>
  <si>
    <t>PIEMME  pubblicazione avviso - Potenziamento DB machine</t>
  </si>
  <si>
    <t>CAIRORCS MEDIA  pubblicazione avviso - Potenziamento DB machine</t>
  </si>
  <si>
    <t>FAZZARI ADOLFO*PAPA SERGIO ANTONINO*MAGLIE PATRIZIA*GAVILLUCCI CLAUDIA*ECS SRL*VITIELLO GAETANO*OLIVIERO ANTONIO*RHL ARCHITETTURA SRL*C.F. CONSULTING SRL*SENEA SRL*A.S. SRLS</t>
  </si>
  <si>
    <t>01-MANDATARIA*02-MANDANTE*03-MANDANTE*04-MANDANTE*05-MANDATARIA*06-MANDANTE*07-MANDANTE*08-MANDATARIA*09-MANDANTE*10-MANDATARIA*11-MANDANTE</t>
  </si>
  <si>
    <t>01982240663</t>
  </si>
  <si>
    <t>Studio Paris Engineering S.r.l.</t>
  </si>
  <si>
    <t>Z8C3BED1E3</t>
  </si>
  <si>
    <t>9949556958</t>
  </si>
  <si>
    <t>Interventi urgenti di manutenzione ordinaria eseguiti sulle tende installate presso la sede Consob di Roma</t>
  </si>
  <si>
    <t xml:space="preserve">PICCHI S.r.l. </t>
  </si>
  <si>
    <t>Adesione alla convenzione Consip “Licenze Software Multibrand 5”, Lotto 4, per l’acquisizione di sottoscrizioni di durata annuale del software Red Hat</t>
  </si>
  <si>
    <t>CONVERGE SRL</t>
  </si>
  <si>
    <t>Sottoscrizioni e del servizio di supporto specialistico triennali per n. 1150 licenze del software antispam “Libraesva”</t>
  </si>
  <si>
    <t>02056831007</t>
  </si>
  <si>
    <t>GFX S.r.l.</t>
  </si>
  <si>
    <t>9886856BAA</t>
  </si>
  <si>
    <t>Z453C462FB</t>
  </si>
  <si>
    <t>Z9C3C4B542</t>
  </si>
  <si>
    <t>ZC33C96419</t>
  </si>
  <si>
    <t>Z953C6FAC0</t>
  </si>
  <si>
    <t>ZC63CAFEBE</t>
  </si>
  <si>
    <t>Servizio di traduzione di atti e documenti inerenti attività istituzionale dal 1° ottobre 2023 al 30 settembre 2025</t>
  </si>
  <si>
    <t>ARKADIA TRANSLATIONS</t>
  </si>
  <si>
    <t>dAcquisto toner per stampanti HP a colori</t>
  </si>
  <si>
    <t>Cena di lavoro ESMA del 7 settembre 2023 presso il locale Piccolo Cafè &amp; Restaurant di Milano</t>
  </si>
  <si>
    <t>05282230720</t>
  </si>
  <si>
    <t>Ladisa Srl</t>
  </si>
  <si>
    <t>Fornitura di un ricevitore video modello TP-580R della Kramer</t>
  </si>
  <si>
    <t>Supporto specialistico Filenet P8</t>
  </si>
  <si>
    <t>Esercizio opzione di rinnovo del contratto Servizi attuariali funzionali all'aggiornamento dell'accantonamento a garanzia del trattamento pensionistico integrativo</t>
  </si>
  <si>
    <t>9984016EA1</t>
  </si>
  <si>
    <t>A01536DB2F</t>
  </si>
  <si>
    <t>Z153CA2B4C</t>
  </si>
  <si>
    <t>999498173E</t>
  </si>
  <si>
    <t>ZCC397C2AB</t>
  </si>
  <si>
    <t>A0127F6CE4</t>
  </si>
  <si>
    <t>SERVIZIO DI MANUTENZIONE DELLE VIDEOCONFERENZE</t>
  </si>
  <si>
    <t>Servizio di manutenzione e assistenza tecnica per l’infrastruttura di videoconferenze dell’istituto</t>
  </si>
  <si>
    <t>certificati digitali geotrust</t>
  </si>
  <si>
    <t>banca dati leggi d'italia</t>
  </si>
  <si>
    <t>banca dati italgiure</t>
  </si>
  <si>
    <t>licenze go to meeting</t>
  </si>
  <si>
    <t>occhio alle truffe</t>
  </si>
  <si>
    <t>Stampa e consegna delle pubblicazioni istituzionali della Consob</t>
  </si>
  <si>
    <t>TIBURTINI SRL</t>
  </si>
  <si>
    <t>D.R.Z. OFFICE SRL</t>
  </si>
  <si>
    <t>ARKADIA TRANSLATIONS*STUDIO MORETTO GROUP SRL*LINGOYOU GRUOP S.R.L.*LANDOOR S.R.L.*WAY2GLOBAL S.R.L. S.B.*INTERPRETI TRADUTTORI MEDIATORI S.R.L.*AUTHENTIC ENTERPRISE SOLUTIONS S.R.L.</t>
  </si>
  <si>
    <t>MILANOBIMBI SAS</t>
  </si>
  <si>
    <t>FZZDLF74A19F839J*PPSNN61H11D268N*MGLPRZ73S48B936P*GVLCHR93C61I712M*09707881216*VTLGTN79T25F839N*LVRNTN72P23F839W*10424310158*01567990559*08091761216*08272361216</t>
  </si>
  <si>
    <t>Z403bba048</t>
  </si>
  <si>
    <t>Z153bba075</t>
  </si>
  <si>
    <t>Accordo quadro - Manutenzione tende installate presso la sede Consob di Roma</t>
  </si>
  <si>
    <t>ZD73C9E7F8</t>
  </si>
  <si>
    <t>ZCA3C9E768</t>
  </si>
  <si>
    <t>A0163A4CB2</t>
  </si>
  <si>
    <t>Servizio di accesso agli applicativi informatici Orbis per l'anno 2024</t>
  </si>
  <si>
    <t>05023781007</t>
  </si>
  <si>
    <t>S&amp;P - Global Market</t>
  </si>
  <si>
    <t>Bureau Van Dijk - Edizioni elettroniche S.p.A.</t>
  </si>
  <si>
    <t>*03090000583</t>
  </si>
  <si>
    <t>*030900000583</t>
  </si>
  <si>
    <t>*01989501000</t>
  </si>
  <si>
    <t>A012AF2360</t>
  </si>
  <si>
    <t>Servizio di realizzazione di una survey sulle scelte di investimento delle famiglie italiane</t>
  </si>
  <si>
    <t>procedura negoziata senza pubblicazione</t>
  </si>
  <si>
    <t>00935420158; 11893300969</t>
  </si>
  <si>
    <t xml:space="preserve">Doxa S.p.A.; Research Dogma S.r.l. </t>
  </si>
  <si>
    <t>11893300969</t>
  </si>
  <si>
    <t>Research Dogma S.r.l.</t>
  </si>
  <si>
    <t>Servizio di accesso alla banca dati Telemaco e EBR 2024</t>
  </si>
  <si>
    <t>Servizio di accesso alla banca dati Custom benchmarking services 2024</t>
  </si>
  <si>
    <t xml:space="preserve"> ZBA3C9E50E</t>
  </si>
  <si>
    <t>ZF53C9E545</t>
  </si>
  <si>
    <t>Z523C9E575</t>
  </si>
  <si>
    <t>13211660157</t>
  </si>
  <si>
    <t>YoUnique Business S.r.l.</t>
  </si>
  <si>
    <t>*01739090460</t>
  </si>
  <si>
    <t>Z893C9E593</t>
  </si>
  <si>
    <t>TELPRESS ITALIA SRL</t>
  </si>
  <si>
    <t>03090000583*01989501000*14919391004</t>
  </si>
  <si>
    <t>Torrenti Davide Lavanderia e Tappezzeria, impresa individuale*Picchi S.r.l.*Errebi Omnia S.r.l.</t>
  </si>
  <si>
    <t xml:space="preserve">16505751004* 00654080076* 09342931004* 02717560169* 02936070982* 10009800961* 10013290969 
*10145550967 </t>
  </si>
  <si>
    <t>DURANTE SPA*AYNO VIDEOCONFERENZE SRL</t>
  </si>
  <si>
    <t xml:space="preserve">05023781007*13485641008*06918261006
</t>
  </si>
  <si>
    <t xml:space="preserve">TIBURTINI S.R.L.*S.T.I. STAMPA TIPOLITOGRAFICA ITALIANA S.R.L.*ARTI GRAFICHE LA MODERNA S.R.L.
</t>
  </si>
  <si>
    <t>TRUST ITALIA S.P.A.</t>
  </si>
  <si>
    <t>10209790152</t>
  </si>
  <si>
    <t>WOLTERS KLUVER ITALIA S.R.L.</t>
  </si>
  <si>
    <t>CORTE SUPREMA CASSAZIONE</t>
  </si>
  <si>
    <t>TAXI 1729</t>
  </si>
  <si>
    <t>DE NARDIS - PASSIGLIA</t>
  </si>
  <si>
    <t>02246250605 (DE NARDIS) 12946661001 (PASSIGLIA)</t>
  </si>
  <si>
    <t>GOTO TECHNOLOGIES</t>
  </si>
  <si>
    <t>IFICONSULTING srl</t>
  </si>
  <si>
    <t>997650478A</t>
  </si>
  <si>
    <t xml:space="preserve">Fornitura di n. 73 PC portatili e relative docking station </t>
  </si>
  <si>
    <t>07820851009*04624690634*02288270545*02222170132</t>
  </si>
  <si>
    <t>Eurome srl*I.T.M. Informatica Telematica Meridionale srl*Massinelli srl*Systema srl</t>
  </si>
  <si>
    <t>07820851009</t>
  </si>
  <si>
    <t>Eurome srl</t>
  </si>
  <si>
    <t>Z0E3BE25AE</t>
  </si>
  <si>
    <t>CAMPAGNA DI VACCINAZIONE ANTINFLUENZALE IN FAVORE DEL PERSONALE CONSOB</t>
  </si>
  <si>
    <t>ZE73C8020C</t>
  </si>
  <si>
    <t>Fornitura biennale della fornitura della piattaforma di approvigionamento digitale “TuttoGare”</t>
  </si>
  <si>
    <t>Convenzione, ex art. 22, comma 9, D.L. 90/2014, con il Comune di Milano avente ad oggetto la concessione d'uso dell'immobile di Via Rovello 6, in Milano</t>
  </si>
  <si>
    <t>01199250158</t>
  </si>
  <si>
    <t>Comune di Milano</t>
  </si>
  <si>
    <t>Z19214D797</t>
  </si>
  <si>
    <t>Noleggio di n. 3 fotocopiatrici multifunzione per la sede Consob di Milano - via Broletto 7 tramite convenzione Consip</t>
  </si>
  <si>
    <t>09275090158</t>
  </si>
  <si>
    <t>SHARP ELECTRONICS ITALIA SPA</t>
  </si>
  <si>
    <t>Z2F2988BFF</t>
  </si>
  <si>
    <t>Uso e manutenzione del collegamento telematico in fibra ottica tra le sedi Consob di Milano</t>
  </si>
  <si>
    <t>Z9E29C8E12</t>
  </si>
  <si>
    <t>Servizio di corriere espresso tra le sedi di Roma e di Milano - Anni 2020-22</t>
  </si>
  <si>
    <t>12122771004*12321621000*01273040129</t>
  </si>
  <si>
    <t>Defendini Logistica srl*DNA Group srl*TNT Global Express srl</t>
  </si>
  <si>
    <t>12321621000</t>
  </si>
  <si>
    <t xml:space="preserve">DNA GROUP SRL </t>
  </si>
  <si>
    <t>Z15292F74F</t>
  </si>
  <si>
    <t>Noleggio in conv. Consip di n. 3 fotocopiatrici multifunzione per la sede Consob di Milano, via Rovello 6</t>
  </si>
  <si>
    <t>Olivetti spa</t>
  </si>
  <si>
    <t>7991852CE4</t>
  </si>
  <si>
    <t>Accordo quadro lavori di manutenzione edile presso le sedi Consob di Milano</t>
  </si>
  <si>
    <t>05215071001*08575211001*00511140865*03757390632*01588640621*01194720437*02578600849*01708880172*03863740241*LGRLNZ55M15L131I*01949350746*04827180656*05074681007*03261370369*01769650761</t>
  </si>
  <si>
    <t>Capitolium Conservazionerestauro di R. Bordin Snc*Co.Fa.M. Srl*Consorzio Imprese Provinciali Artigianato Ennese C.I.P.A.E. S.Coop.*Crispino e Bova Srl*Edil Progress Srls*Edilfiastra Snc di Lucarini Venanzio &amp; Co.*FG Costruzioni Restauro Srl*Impresa Edile Eredi Pezzotti Giacomo Snc*Impresa Tasca Srl*Lo Grasso Lorenzo*Marra Srl*Prog. Res Srl*SLP Srl*T.M. Costruzioni Srl*The Wall Costruzioni Srl a socio unico</t>
  </si>
  <si>
    <t>04827180656</t>
  </si>
  <si>
    <t>Prog.Res S.r.l.</t>
  </si>
  <si>
    <t>8110530D13</t>
  </si>
  <si>
    <r>
      <t xml:space="preserve">Abbonamenti triennali cartacei e digitali al quotidiano </t>
    </r>
    <r>
      <rPr>
        <i/>
        <sz val="11"/>
        <rFont val="Calibri"/>
        <family val="2"/>
        <scheme val="minor"/>
      </rPr>
      <t>Il Sole 24 Ore</t>
    </r>
  </si>
  <si>
    <t>Il Sole 24 Ore spa</t>
  </si>
  <si>
    <t>Z172C3DE79</t>
  </si>
  <si>
    <t>Noleggio - LOTTO 3- n.1 fotocopiatrice a colori - Adesione convenzione Consip "Apparecchiature multifunzione 31 - noleggio " dal 1° maggio 2020 al 30 aprile 2025 - MILANO</t>
  </si>
  <si>
    <t>ZF02C3DF1D</t>
  </si>
  <si>
    <t>Noleggio - LOTTO 1- n. 7
fotocopiatrici
mutlifunzione - Adesione
convenzione Consip
"Apparecchiature
multifunzione 31 -
noleggio " dal 1° maggio
2020 al 30 aprile 2025 -
MILANO</t>
  </si>
  <si>
    <t>8272093B15</t>
  </si>
  <si>
    <t>Accordo quadro per servizi di catering presso le sedi Consob di Milano</t>
  </si>
  <si>
    <t>02977600135*07200021009*04956420964*04991070485*01647310562*13008381009</t>
  </si>
  <si>
    <t xml:space="preserve"> ILPARTYCOLARE SRL*LA PICCOLA GIAN.DES.*OLYMPIA SRL*PIRENE SRL*PROMOTUSCIA VIAGGI E CONGRESSI SRL*VERTEC SRL</t>
  </si>
  <si>
    <t>02977600135</t>
  </si>
  <si>
    <t>ILPARTYCOLARE SRL</t>
  </si>
  <si>
    <t>8330923F21</t>
  </si>
  <si>
    <t>Affidamento in concessione del servizio di gestione di distributori automatici di bevande e prodotti alimentari presso le sedi Consob di Milano (Lotto 2)</t>
  </si>
  <si>
    <t>01038120307</t>
  </si>
  <si>
    <t>Z062E32E20</t>
  </si>
  <si>
    <t>Noleggio e manutenzione di n. 3 tappeti presso le sedi Consob di Milano</t>
  </si>
  <si>
    <t>ZC130605D9</t>
  </si>
  <si>
    <t>Servizio triennale di “igienizzazione” e di asciugamani di cotone in rotoli presso le sedi di Milano</t>
  </si>
  <si>
    <t>00771530151*05851410158*02008760353*03986581001*01395120205</t>
  </si>
  <si>
    <t>ALSCO ITALIA SRL*ELIS ITALIA SPA*MP SERVICE SRL*RENTOKIL INITIAL ITALIA SPA*SE.COM. SERVIZI E COMUNITA' SRL</t>
  </si>
  <si>
    <t>8666681369</t>
  </si>
  <si>
    <t>Fornitura di gas per le sedi Consob di Milano (conv. Consip Gas naturale 13, lotto 2)</t>
  </si>
  <si>
    <t>02221101203</t>
  </si>
  <si>
    <t>HERA COMM S.P.A.</t>
  </si>
  <si>
    <t>Z8431950B2</t>
  </si>
  <si>
    <t>Rinnovo biennale di n. 2 licenze dell’applicativo “Forensics Aquisition of Websites” funzionale alle esigenze ispettive della Consob</t>
  </si>
  <si>
    <t>02046570426*ZVTMTT84M29L682Y</t>
  </si>
  <si>
    <t>NAMIRIAL SPA*ZInformatica di Matteo Zavattari</t>
  </si>
  <si>
    <t>02046570426</t>
  </si>
  <si>
    <t>NAMIRIAL SPA</t>
  </si>
  <si>
    <t>Z4931ADE8D</t>
  </si>
  <si>
    <t>Servizio di manutenzione biennale del software"Mercure V4 Silvercilent”</t>
  </si>
  <si>
    <t>07414751003</t>
  </si>
  <si>
    <t>TECOMS srl</t>
  </si>
  <si>
    <t>ZD43153B82</t>
  </si>
  <si>
    <t>Servizi per la gestione integrata della salute e della sicurezza sui luoghi di lavoro presso le sedi di Milano (conv. Consip "SIC 4", lotto 2)</t>
  </si>
  <si>
    <t>Z83321CC2A</t>
  </si>
  <si>
    <t>Servizio di manutenzione del parcheggio automatico 'Interpark' sede di via Broletto 7 - luglio 2021- dicembre 2023 (30 mesi)</t>
  </si>
  <si>
    <t>03729860134</t>
  </si>
  <si>
    <t>Parkpiù srl</t>
  </si>
  <si>
    <t>8480390F33</t>
  </si>
  <si>
    <t>Vigilanza armata e telesorveglianza
per le sedi Consob di Milano</t>
  </si>
  <si>
    <t>01579830025*80039930153*80020430825*03169660150</t>
  </si>
  <si>
    <t>ALLSYSTEM spa*CIVIS spa*KSM spa*IVRI ISTITUTI DI VIGILANZA RIUNITI D'ITALIA srl</t>
  </si>
  <si>
    <t>80020430825</t>
  </si>
  <si>
    <t>KSM spa</t>
  </si>
  <si>
    <t>88256260FA</t>
  </si>
  <si>
    <t>Fornitura di buoni pasto elettronici per i dipendenti Consob della sede di Milano</t>
  </si>
  <si>
    <t>Z1D3490AFD</t>
  </si>
  <si>
    <t>Fornitura carburante - Sede Consob di Milano (AQ Consip "Fuel Card 2")</t>
  </si>
  <si>
    <t>00435970587</t>
  </si>
  <si>
    <t>Kuwait Petroleum Italia spa</t>
  </si>
  <si>
    <t>9022398E5A</t>
  </si>
  <si>
    <t>Adesione alla Convenzione Consip Facility Management 4, Lotto 3, per le sedi Consob di Milano</t>
  </si>
  <si>
    <t>07947601006*11205571000*01103180582*04808921003*05617631006*14783531008*00981850597</t>
  </si>
  <si>
    <t>Team Service scarl*CBRE GWS Technical Division srl*CNP Energia spa*Gruppo ECF Impianti Tecnologici e Costruzioni spa*HITRAC Engineering Group spa*I.F.M. Italiana Facility Management spa*Società Nazionale Appalti Manutenzioni Lazio Sud S.N.A.M. srl</t>
  </si>
  <si>
    <t>ZDB34595DA</t>
  </si>
  <si>
    <t>Adesione triennale al servizio Affrancaposta di Poste Italiane</t>
  </si>
  <si>
    <t>97103880585</t>
  </si>
  <si>
    <t>Poste Italiane spa</t>
  </si>
  <si>
    <t>89542500DC</t>
  </si>
  <si>
    <t>Fornitura di energia elettrica per le sedi Consob di Roma e Milano</t>
  </si>
  <si>
    <t>08526440154</t>
  </si>
  <si>
    <t>Edison Energia spa</t>
  </si>
  <si>
    <t>Z3B359E450</t>
  </si>
  <si>
    <t>Intervento di manutenzione su defibrillatori semiautomatici in dotazione presso le sedi di Roma e Milano</t>
  </si>
  <si>
    <t>07745171210</t>
  </si>
  <si>
    <t>Peretti Group Srl</t>
  </si>
  <si>
    <t>Z9335071AF</t>
  </si>
  <si>
    <t>N. 15 abbonamenti annuali digitali al quotidiano "Financial Times" 2022/23</t>
  </si>
  <si>
    <t>GB278537121</t>
  </si>
  <si>
    <t>THE FINANCIAL TIMES LTD</t>
  </si>
  <si>
    <t>ZDB3639EB0</t>
  </si>
  <si>
    <t>CONVENZIONE CON ISTITUTO AUXOLOGICO ITALIANO PER L'EFFETTUAZIONE DI TEST SIEROLOGICI, TAMPONI MOLECOLARI E TAMPONI RAPIDI PER IE ESIGENZE DELLA SEDE CONSOB DI MILANO (II semestre 2022)</t>
  </si>
  <si>
    <t>Istituto Auxologico Italiano</t>
  </si>
  <si>
    <t>ZAF37A21CA</t>
  </si>
  <si>
    <t>Intervento di indagine ambientale per il controllo e la prevenzione della legionellosi presso le sedi Consob di Milano</t>
  </si>
  <si>
    <t>04779681008</t>
  </si>
  <si>
    <t>Delta APS Service Srl</t>
  </si>
  <si>
    <t>ZF637099E9</t>
  </si>
  <si>
    <t>Interventi vari sul parcheggio automatico Interpark di via Broletto 7</t>
  </si>
  <si>
    <t>ZF6380F28D</t>
  </si>
  <si>
    <t>Fornitura di n. 1 scanner per grandi volumi per le esigenze delle sede Consob di Milano</t>
  </si>
  <si>
    <t>09234221001</t>
  </si>
  <si>
    <t>NADA 2008 srl</t>
  </si>
  <si>
    <t>ZD738487C2</t>
  </si>
  <si>
    <t>Tende in tessuto per il 3° piano di via Broletto 7</t>
  </si>
  <si>
    <t>05004350962</t>
  </si>
  <si>
    <t>MVM OFFICE SRL</t>
  </si>
  <si>
    <t>ZC5389FDF5</t>
  </si>
  <si>
    <t>Indagine ambientale per il controllo e la prevenzione della legionellosi presso le sedi Consob di Roma e di Milano</t>
  </si>
  <si>
    <t>04156061006</t>
  </si>
  <si>
    <t>FIROTEK SRL</t>
  </si>
  <si>
    <t>ZF4393553E</t>
  </si>
  <si>
    <t>Acquisizione di patch cord in rame e in fibra ottica e per la sede Consob di Milano</t>
  </si>
  <si>
    <t>03878640238</t>
  </si>
  <si>
    <t>Virtual Logic Srl</t>
  </si>
  <si>
    <t>Z9D38C35A7</t>
  </si>
  <si>
    <t>Convenzione con l’Istituto Auxologico Italiano per l’effettuazione di tamponi
rapidi per il personale Consob delle sedi di Milano</t>
  </si>
  <si>
    <t>Z4E38D186B</t>
  </si>
  <si>
    <t>Manutenzione sistemi di sicurezza “linee vita” presso la sede di Milano, via
Broletto 7. Triennio 2023-2025</t>
  </si>
  <si>
    <t>07771580961</t>
  </si>
  <si>
    <t>Grimm Service Linee srl</t>
  </si>
  <si>
    <t>ZDD38ED7D1</t>
  </si>
  <si>
    <t>Noleggio di n. 3 multifunzione monocromatiche per la sede Consob di Milano, via
Broletto 7 - Conv. Consip “Apparecchiature multifunzione in noleggio 1”, lotto 4</t>
  </si>
  <si>
    <t>ITD Solutions Spa</t>
  </si>
  <si>
    <t>Z9838D3EFE</t>
  </si>
  <si>
    <r>
      <t xml:space="preserve">N. 3 abbonamenti annuali al settimanale </t>
    </r>
    <r>
      <rPr>
        <i/>
        <sz val="11"/>
        <rFont val="Calibri"/>
        <family val="2"/>
        <scheme val="minor"/>
      </rPr>
      <t>The Economist</t>
    </r>
    <r>
      <rPr>
        <sz val="11"/>
        <rFont val="Calibri"/>
        <family val="2"/>
        <scheme val="minor"/>
      </rPr>
      <t xml:space="preserve"> 2022/23</t>
    </r>
  </si>
  <si>
    <t>06860250155</t>
  </si>
  <si>
    <t>IMD srl</t>
  </si>
  <si>
    <t>9570281DB5</t>
  </si>
  <si>
    <t>Abbonamenti digitali e cartacei al qoutidiano "Il Sole 24 Ore" - Triennio 2023-26</t>
  </si>
  <si>
    <t>ZDC38A868F</t>
  </si>
  <si>
    <t>Affidamento attività coordinatore sicurezza cantiere Consob tinteggiatura 3 facciate</t>
  </si>
  <si>
    <t>10437871006</t>
  </si>
  <si>
    <t>Arché società cooperativa a r.l.</t>
  </si>
  <si>
    <t>95486009FC</t>
  </si>
  <si>
    <t>Accordo quadro avente ad oggetto lavori di manutenzione edilepresso le sedi Consob di Milano 2023-2024</t>
  </si>
  <si>
    <t>06869090156*00291450187*04415910159*03353030160</t>
  </si>
  <si>
    <t>IMG srl; CEB srl; CEIS costruzioni edili idrauliche e stradali; ECOEDILE srl</t>
  </si>
  <si>
    <t>06869090156</t>
  </si>
  <si>
    <t>IMG srl</t>
  </si>
  <si>
    <t>Z0339A65F6</t>
  </si>
  <si>
    <t>Indagine ambientale per il controllo e la prevenzione della legionellosi presso la sede Consob di Milano, via Broletto n. 7</t>
  </si>
  <si>
    <t>Z0F3A56A15</t>
  </si>
  <si>
    <t>Intervento di manutenzione su defibrillatori semiautomatici in dotazione presso le sedi di Roma e Milano, con annessa fornitura di tre DAE “muletto” durante il periodo necessario per gli interventi</t>
  </si>
  <si>
    <t>09577741219</t>
  </si>
  <si>
    <t>Peretti Srl</t>
  </si>
  <si>
    <t>Z6A3A2BACA</t>
  </si>
  <si>
    <t>Indagine ambientale per il controllo e la prevenzione della legionella presso la sede Consob di Milano, via Broletto 7</t>
  </si>
  <si>
    <t>07360070960</t>
  </si>
  <si>
    <t>MBA Ambiente Srl</t>
  </si>
  <si>
    <t>970402706A</t>
  </si>
  <si>
    <t>Fornitura biennale di gas naturale per le sedi Consob di Milano tramite adesione alla convenzione Consip “Gas naturale 14” - lotto 2 (Provincia di Milano)</t>
  </si>
  <si>
    <t>Hera Comm Spa</t>
  </si>
  <si>
    <t>ZC239BDEF5</t>
  </si>
  <si>
    <t>N. 15 abbonamenti annuali digitali al quotidiano "Financial Times" 2023/24</t>
  </si>
  <si>
    <t>The Financial Times Ltd</t>
  </si>
  <si>
    <t>Z9B3A02183</t>
  </si>
  <si>
    <t>Fornitura di materiale di consumo per i servizi igienici delle sedi di Roma e Milano</t>
  </si>
  <si>
    <t>06794710969</t>
  </si>
  <si>
    <t>API SERVICE Srl</t>
  </si>
  <si>
    <t>Z903AA021E</t>
  </si>
  <si>
    <t>Visite mediche ed esami di laboratorio per il Personale delle sedi Consob di Milano - Conv. Consip "Gestione salute e sicurezza 4", lotto 2</t>
  </si>
  <si>
    <t>ZEA3B303ED</t>
  </si>
  <si>
    <r>
      <t xml:space="preserve">Stampa e rilegatura del </t>
    </r>
    <r>
      <rPr>
        <i/>
        <sz val="11"/>
        <rFont val="Calibri"/>
        <family val="2"/>
        <scheme val="minor"/>
      </rPr>
      <t>Discorso al Mercato</t>
    </r>
    <r>
      <rPr>
        <sz val="11"/>
        <rFont val="Calibri"/>
        <family val="2"/>
        <scheme val="minor"/>
      </rPr>
      <t xml:space="preserve"> del sig. Presidente (9 giugno 2023)</t>
    </r>
  </si>
  <si>
    <t>11305810159</t>
  </si>
  <si>
    <t>FRONTERETRO COPISTERIA di Mastrolonardo R. &amp; C. sas</t>
  </si>
  <si>
    <t>FRONTERETRO COPISTERIA di Mastrolonardo Roberto &amp; C. sas</t>
  </si>
  <si>
    <t>Z463AD2BA6</t>
  </si>
  <si>
    <t>Rinnovo biennale di n. 2 licenze dell’applicativo"Forensics Aquisition of Websites" funzionale a esigenze ispettive</t>
  </si>
  <si>
    <t>03894240120</t>
  </si>
  <si>
    <t>INDEVO srl</t>
  </si>
  <si>
    <t>Z103B97816</t>
  </si>
  <si>
    <t>Affidamento diretto per la fornitura di n. 4 scaffali da destinare alla sede Consob di Milano, via Broletto n. 7</t>
  </si>
  <si>
    <t>05602710963</t>
  </si>
  <si>
    <t>Leroy Merlin Italia Srl</t>
  </si>
  <si>
    <t>Z8D3AD02FA</t>
  </si>
  <si>
    <t>Manutenzione evolutiva biennale per il software "Mercure V5" in modalità serverclient, con n. 3 accessi concorrenti</t>
  </si>
  <si>
    <t>9858218AD7</t>
  </si>
  <si>
    <t xml:space="preserve">Affidamento in concessione del servizio di gestione di distributori automatici di bevande e prodotti alimentari presso la sede Consob di Milano (Lotto 2) </t>
  </si>
  <si>
    <t>ZCB3BFA019</t>
  </si>
  <si>
    <t>Intervento di manutenzione sull’impianto di videoconferenza installato nella sala
S15 della sede Consob milanese di via Broletto n. 7</t>
  </si>
  <si>
    <t>Team Office Srl</t>
  </si>
  <si>
    <t>ZB63CAE7CD</t>
  </si>
  <si>
    <t>Servizio biennale di "tappeti antisporco", sedi di Milano</t>
  </si>
  <si>
    <t>Elis Italia Spa</t>
  </si>
  <si>
    <t>Z4C2D86367</t>
  </si>
  <si>
    <t>Consob - Divisione
Studi - Ufficio
Biblioteca</t>
  </si>
  <si>
    <t>Rinnovo abbonamento
banca dati giuridica
"Sistema Leggi d'Italia"
dell'editore Wolters
Kluwer per il triennio 2020-
2023</t>
  </si>
  <si>
    <t>WOLTERS KLUWER
ITALIA SRL</t>
  </si>
  <si>
    <t>Z73354DF4E</t>
  </si>
  <si>
    <t>Rinnovo abbonamento
annuale agli studi, ricerche
e documenti di ASTRID
Servizi Srl</t>
  </si>
  <si>
    <t>08668541009</t>
  </si>
  <si>
    <t>Astrid Servizi s.r.l.</t>
  </si>
  <si>
    <t>Z5034DC2F2</t>
  </si>
  <si>
    <t>Sottoscrizione
abbonamento alla
newsletter "Fintech+"</t>
  </si>
  <si>
    <t>ZC2354DF07</t>
  </si>
  <si>
    <t>Integrazione
abbonamento banca dati
giuridica "Sistema Leggi
d'Italia" dell'editore
Wolters Kluwer</t>
  </si>
  <si>
    <t>WOLTERS KLUWER ITALIA SRL</t>
  </si>
  <si>
    <t>Z5336515D4</t>
  </si>
  <si>
    <t>Rinnovo abbonamento
annuale alla banca dati
Deloitte</t>
  </si>
  <si>
    <t>Z353651596</t>
  </si>
  <si>
    <t>Rinnovo abbonamento
annuale alla banca dati EY
Portal</t>
  </si>
  <si>
    <t>Z4A365155D</t>
  </si>
  <si>
    <t>Rinnovo abbonamento
annuale a "EIFRS
Comprehensive
Subscription"</t>
  </si>
  <si>
    <t>ZA43651617</t>
  </si>
  <si>
    <t>Abbonamento annuale
alla banca dati KPMG</t>
  </si>
  <si>
    <t>ZC33669BD9</t>
  </si>
  <si>
    <t>Rinnovo abbonamento annuale alla banca dati "PWC"</t>
  </si>
  <si>
    <t>Z87371CE41</t>
  </si>
  <si>
    <t>Abbonamento triennale
all'Osservatorio AIR (2022-
2025)</t>
  </si>
  <si>
    <t>Osservatorio AIR</t>
  </si>
  <si>
    <t>Z06374D269</t>
  </si>
  <si>
    <t>Abbonamento annuale alla banca dati "Etica News"</t>
  </si>
  <si>
    <t>Rinnovo abbonamento triennale alla banca dati "DeJure"</t>
  </si>
  <si>
    <t>Giuffrè Francis
Lefebvre Agenzia di Roma</t>
  </si>
  <si>
    <t>08648741000</t>
  </si>
  <si>
    <t>Z76374D234</t>
  </si>
  <si>
    <t>Acquisto principi contabili internazionali</t>
  </si>
  <si>
    <t>Z163897496</t>
  </si>
  <si>
    <t>Sottoscrizione di
abbonamento al "Portale
il fallimentarista" per il
triennio 2022/2025</t>
  </si>
  <si>
    <t>Giuffrè Francis
Lefebvre</t>
  </si>
  <si>
    <t>Z383930819</t>
  </si>
  <si>
    <t>Sottoscrizione
abbonamento annuale ai Rapporti previsione bilanci bancari</t>
  </si>
  <si>
    <t>03118330376</t>
  </si>
  <si>
    <t>PROMETEIA S.P.A.</t>
  </si>
  <si>
    <t>Z883930817</t>
  </si>
  <si>
    <t>Sottoscrizione
abbonamento annuale
Rapporti di previsione trimestrali</t>
  </si>
  <si>
    <t>Z4739323AC</t>
  </si>
  <si>
    <t>Rinnovo abbonamento
al Portale Osservatori.Net della School of
Management del
Politecnico di Milano</t>
  </si>
  <si>
    <t>08591680155</t>
  </si>
  <si>
    <t>MIP POLITECNICO DI
MILANO GRADUATE
SCHOOL OF BUSINESS
SCPA</t>
  </si>
  <si>
    <t>Z9338FE326</t>
  </si>
  <si>
    <t xml:space="preserve">Abbonamento triennaleale a
documentazione
dell'Assonime </t>
  </si>
  <si>
    <t>Assonime
Associazione fra le
società italiane per
azioni</t>
  </si>
  <si>
    <t>Z2438FA2EA</t>
  </si>
  <si>
    <t>Sottoscrizione
abbonamento Modulo 24
Revisione Legale e Crisi
d'Impresa</t>
  </si>
  <si>
    <t>Z0238FA293</t>
  </si>
  <si>
    <t>Z4638FA341</t>
  </si>
  <si>
    <t>Sottoscrizione
abbonamento Modulo 24 Bilancio e non financial reporting
d'Impresa</t>
  </si>
  <si>
    <t>Z0439D187B</t>
  </si>
  <si>
    <t>ZCC3A87583</t>
  </si>
  <si>
    <t>Z903A9CA3B</t>
  </si>
  <si>
    <t>MNGPTR67S24L219T</t>
  </si>
  <si>
    <t>Pietro Minoglio Chionio Nuvoli</t>
  </si>
  <si>
    <t>Z4F3A9CA5C</t>
  </si>
  <si>
    <t>Acquisto pubblicazioni non periodiche estere</t>
  </si>
  <si>
    <t>ZDA3B23E76</t>
  </si>
  <si>
    <t>Rinnovo annuale alla banca dati PWC-Comperio</t>
  </si>
  <si>
    <t>ZF93B23DFE</t>
  </si>
  <si>
    <t>Rinnovo annuale alla banca dati eIFRS</t>
  </si>
  <si>
    <t>Z023B23E17</t>
  </si>
  <si>
    <t>Rinnovo annuale alla banca dati Ernst &amp; Young</t>
  </si>
  <si>
    <t>Z823B23E46</t>
  </si>
  <si>
    <t>Rinnovo annuale alla banca dati Deloitte</t>
  </si>
  <si>
    <t>Z863B23E5F</t>
  </si>
  <si>
    <t xml:space="preserve">Rinnovo annuale alla banca dati KPMG </t>
  </si>
  <si>
    <t>Intervento di manutenzione e aggiornamento di attrezzature RFID</t>
  </si>
  <si>
    <t>03301500249</t>
  </si>
  <si>
    <t>ISNG Srl</t>
  </si>
  <si>
    <t>Z0B3BAA5B4</t>
  </si>
  <si>
    <t>MGLFRZ63L31H501H</t>
  </si>
  <si>
    <t>Informatore Giuridico di Fabrizio Meglio</t>
  </si>
  <si>
    <t>z473bca9ea</t>
  </si>
  <si>
    <t>Corso di Formazione</t>
  </si>
  <si>
    <t>02133771002</t>
  </si>
  <si>
    <t>UNIVERSITA' DEGLI STUDI DI ROMA LA SAPIENZA</t>
  </si>
  <si>
    <t xml:space="preserve">Master Anticorruzione - Modulo VII "individuare, valutare e affrontare il conflitto di interessi </t>
  </si>
  <si>
    <t>02133971008</t>
  </si>
  <si>
    <t xml:space="preserve">UNIVERSITA' DEGLI STUDI DI ROMA TOR VERGATA </t>
  </si>
  <si>
    <t>ZD41BEA1A3</t>
  </si>
  <si>
    <t>Corso interno sull'utilizzo dell'applicativo STATA - 2016</t>
  </si>
  <si>
    <t>BRNGNN63E09F205R</t>
  </si>
  <si>
    <t>Prof. Giovanni BRUNO</t>
  </si>
  <si>
    <t>72886017D0</t>
  </si>
  <si>
    <t>Affidamento dei servizi relativi alla cessazione dell'impiego dell'amianto</t>
  </si>
  <si>
    <t>01237131006</t>
  </si>
  <si>
    <t>IGEAM srl</t>
  </si>
  <si>
    <t>ZBF22CE87F</t>
  </si>
  <si>
    <t>Sopralluoghi presso il domicilio dei dipendenti collocati in posizione di telelavoro</t>
  </si>
  <si>
    <t> 03533961003</t>
  </si>
  <si>
    <t>Sintesi SpA</t>
  </si>
  <si>
    <t>76992348E2</t>
  </si>
  <si>
    <t>Adempimenti ex D.M. 6 settembre 1994 - Responsabile amianto</t>
  </si>
  <si>
    <t>07268471005</t>
  </si>
  <si>
    <t>dott.ssa Patrizia Verduchi</t>
  </si>
  <si>
    <t>Z5A25AC2E6</t>
  </si>
  <si>
    <t>servizio RSPP/medico competente per rilevazione stress lavoro-correlato</t>
  </si>
  <si>
    <t>Sintesi S.p.A.</t>
  </si>
  <si>
    <t>Z062638233</t>
  </si>
  <si>
    <t>affidamento analisi presenza legionella (2018) - Sede di Roma</t>
  </si>
  <si>
    <t>00915900575</t>
  </si>
  <si>
    <t>ArpaLazio – Agenzia Regionale Protezione Ambientale del Lazio</t>
  </si>
  <si>
    <t>ZD427239C7</t>
  </si>
  <si>
    <t>Corso interno rivolto al personale della Divisione Infrastrutture Informatiche sull'utilizzo del software Java Standard Edition</t>
  </si>
  <si>
    <t>09768170152</t>
  </si>
  <si>
    <t>TXT E-SOLUTIONS SPA</t>
  </si>
  <si>
    <t>Le procedure sotto-soglia e gli affidamenti diretti dopo il Decreto "Sblocca-cantieri" (D.L. 18 aorile 2019, n. 32)</t>
  </si>
  <si>
    <t>06188330150</t>
  </si>
  <si>
    <t>Maggioli SPA</t>
  </si>
  <si>
    <t>Gli appalti pubblici dopo la conversione del Decreto Sblocca - cantieri</t>
  </si>
  <si>
    <t>Z3D287DEE3</t>
  </si>
  <si>
    <t>Misurazione della concentrazione di gas radon nelle sedi di Milano</t>
  </si>
  <si>
    <t>13015060158</t>
  </si>
  <si>
    <t>Agenzia Regionale per la Protezione dell'Ambiente della Lombardia</t>
  </si>
  <si>
    <t>M&amp;A e Operazioni di riassetto societario</t>
  </si>
  <si>
    <t>03628350153</t>
  </si>
  <si>
    <t>SDA BOCCONI</t>
  </si>
  <si>
    <t>Z3529E2614</t>
  </si>
  <si>
    <t>Affidamento dei sopralluoghi presso le abitazioni dei dipendenti in telelavoro – Annualità 2019/2020.</t>
  </si>
  <si>
    <t>Sessione formativa di 30 gg. destinata al personale della Divisione Infrastrutture Informative da fruirsi nell'esercizio 2020</t>
  </si>
  <si>
    <t>POLITECNICO DI TORINO</t>
  </si>
  <si>
    <t>Z442B03326</t>
  </si>
  <si>
    <t>Affidamento analisi acqua potabile per la sede di Roma</t>
  </si>
  <si>
    <t>MASTER I LIVELLO IN DATA SCIENCE</t>
  </si>
  <si>
    <t>L'INFORTUNIO SULLAVORO DA COVID-19</t>
  </si>
  <si>
    <t>01593590605</t>
  </si>
  <si>
    <t>ITA SRL</t>
  </si>
  <si>
    <t>ZBE2F075FB</t>
  </si>
  <si>
    <t>Le competenze "soft" per la vigilanza</t>
  </si>
  <si>
    <t>09090580581</t>
  </si>
  <si>
    <t>Dott. Paolo Macchioni</t>
  </si>
  <si>
    <t>Z082F076EE</t>
  </si>
  <si>
    <t>MRTNTN65H10L049J</t>
  </si>
  <si>
    <t>Prof. Antonio Marturano</t>
  </si>
  <si>
    <t>Z37312E158</t>
  </si>
  <si>
    <t xml:space="preserve">Corso interno (webinar): La rivoluzione digitale </t>
  </si>
  <si>
    <t>BSSFBA68S07H501D</t>
  </si>
  <si>
    <t>Prof. Fabio BASSAN</t>
  </si>
  <si>
    <t>Z3D312E100</t>
  </si>
  <si>
    <t>MTTCLD63P20F205D</t>
  </si>
  <si>
    <t>Prof. Carlo Domenico MOTTURA</t>
  </si>
  <si>
    <t>Z36312E018</t>
  </si>
  <si>
    <t>RNDNDR72R19F158N</t>
  </si>
  <si>
    <t>Prof. Andrea RENDA</t>
  </si>
  <si>
    <t>ZA0312E136</t>
  </si>
  <si>
    <t>SCRNNL65E42F205X</t>
  </si>
  <si>
    <t>Prof. Antonella SCIARRONE ALIBRANDI</t>
  </si>
  <si>
    <t>GRI SUSTAINABILITY STANDARDS</t>
  </si>
  <si>
    <t>00891231003</t>
  </si>
  <si>
    <t>ERNST &amp; YOUNG SPA</t>
  </si>
  <si>
    <t xml:space="preserve">58° Corso di Formazione per Analisti Finanziari AIAF-CEFA-CIIA </t>
  </si>
  <si>
    <t>10352760150</t>
  </si>
  <si>
    <t>AIAF - FORMAZIONE E CULTURA SRL</t>
  </si>
  <si>
    <t>DATA DRIVEN (PERCORSO PROGRAMMAZIONE PYTHON e PERCORSO PROFESSIONALIZZANTE DIVENTA DATA SCIENTIST)</t>
  </si>
  <si>
    <t>00988761003</t>
  </si>
  <si>
    <t>ABISERVIZI SPA</t>
  </si>
  <si>
    <t xml:space="preserve">CORSO DI PERFEZIONAMENTO INCONTRI SPECIALISTICI DISCIPLINA CONTRATTI PUBBLICI </t>
  </si>
  <si>
    <t>11211641003</t>
  </si>
  <si>
    <t>SIAA - FORMAZIONE AVVOCATI AMMINISTRATIVISTI SRL</t>
  </si>
  <si>
    <t>Z1D31F7BEC</t>
  </si>
  <si>
    <t>Corsi interni a distanza sulle tematiche della sicurezza - 86 corsi base tirocinanti</t>
  </si>
  <si>
    <t>08327990589</t>
  </si>
  <si>
    <t>INFORMA SRL</t>
  </si>
  <si>
    <t>863160629B</t>
  </si>
  <si>
    <t>Servizio di formazione / coaching per il personale dirigente 2021</t>
  </si>
  <si>
    <t>01067231009</t>
  </si>
  <si>
    <t>LUISS - LIBERA UNIVERSITA' INTERNAZIONALE DEGLI STUDI SOCIALI GUIDO CARLI</t>
  </si>
  <si>
    <t>ZCD327D8A9</t>
  </si>
  <si>
    <t>Corso di formazione on-line destinato al personale dirigente</t>
  </si>
  <si>
    <t>Iniziativa formativa in materia di tecnologie innovative applicate alla vigilanza sui PRIIPs e relative informazioni contenute nei documenti KIDs rivolta al personale della Divisione Intermediari</t>
  </si>
  <si>
    <t>884738443E</t>
  </si>
  <si>
    <t>Formazione data analysis, network science, AI e big data per gli abusi di mercato</t>
  </si>
  <si>
    <t>80005050507</t>
  </si>
  <si>
    <t>Corso on line "Data Science and Business Analytics"</t>
  </si>
  <si>
    <t>04376620151</t>
  </si>
  <si>
    <t>Corso online "Risk Management during and after pandemic storm"</t>
  </si>
  <si>
    <t>94191680480</t>
  </si>
  <si>
    <t xml:space="preserve">THE RISK BANKING AND FINANCE SOCIETY </t>
  </si>
  <si>
    <t>Master in compliance in finance Institutions</t>
  </si>
  <si>
    <t>02133120150</t>
  </si>
  <si>
    <t>UNIVERSITA' CATTOLICA DEL SACRO CUORE</t>
  </si>
  <si>
    <t>AGGIORNAMENTO APPALTI PER RUP E UNITA' DI SUPPORTO AL RUP</t>
  </si>
  <si>
    <t>Gli adempimenti informativi obbligatori nel settore degli appalti e contratti pubblici</t>
  </si>
  <si>
    <t xml:space="preserve">Corso avanzato sulle gare telematiche sottosoglia: guida operativa per il RUP </t>
  </si>
  <si>
    <t>Blockchain fintech: la disciplina nazionale e europea dei cripto</t>
  </si>
  <si>
    <t>Formazione su Intelligenza Artificiale destinata al personale della Divisione Infrastrutture Informative - febbraio/luglio 2022</t>
  </si>
  <si>
    <t>E-learning per avvocati - pacchetto di 16 crediti formativi</t>
  </si>
  <si>
    <t>Z6534C4E25</t>
  </si>
  <si>
    <t xml:space="preserve">Corso interno per i dipendenti: 'Il nuovo sistema di feedback" </t>
  </si>
  <si>
    <t>La costruzione di un sistema di indicatori di esposizione al rischio corruttivo</t>
  </si>
  <si>
    <t>L'assunzione obbligatoria delle categorie protette e la presentazione del prospetto annuale</t>
  </si>
  <si>
    <t>Come redigere la motivazione per rendere l'atto amministrativo "inattaccabile"</t>
  </si>
  <si>
    <t>Come redigere la motivazione per rendere l'atto amministrativo inattaccabile - La responsabilità precontrattuale della p.a. dopo la plenaria del cds n. 21/2021</t>
  </si>
  <si>
    <t>Master di secondo livello - Intelligenza artificiale, mente, impresa</t>
  </si>
  <si>
    <t>01773710171</t>
  </si>
  <si>
    <t>UNIVERSITA' DEGLI STUDI DI BRESCIA</t>
  </si>
  <si>
    <t>Il Manuale di gestione documentale secondo le Linee Guida AgIXD in vigora dall'1 gennaio 2022</t>
  </si>
  <si>
    <t>01784630814</t>
  </si>
  <si>
    <t>FORMEL srl</t>
  </si>
  <si>
    <t>CU 2022 - LA NUOVA CERTIFICAZIONE UNICA PER I REDDITI DI LAVORO - NOVITA' E PROBLEMATICHE APPLICATIVE DI COMPILAZIONE</t>
  </si>
  <si>
    <t>IL DISCARICO INVENTARIALE DEI BENI FUORI USO E MANCANTI</t>
  </si>
  <si>
    <t>02774280016</t>
  </si>
  <si>
    <t>SOI SRL</t>
  </si>
  <si>
    <t>Stress Testing from different perspectives: regulatory, supervisory, bank-internal</t>
  </si>
  <si>
    <t>ESE - European Supervisor Education Initiative</t>
  </si>
  <si>
    <t>Codice dei contratti pubblici 2022. procedure d'appalto e subappalto: novità e criticità</t>
  </si>
  <si>
    <t>LE CAUSE DII ESCLUSIONE DALLE GARE DOPO LA NUOVA LEGGE EUROPEA (238/2021)</t>
  </si>
  <si>
    <t>Gestione dei conflitti aziendali e delle relazioni sindacali</t>
  </si>
  <si>
    <t>L'infortunio sul lavoro: le certificazioni mediche e gli obblighi del datore di lavoro</t>
  </si>
  <si>
    <t>Collateral Management</t>
  </si>
  <si>
    <t>ICMA - International Capital Market Association</t>
  </si>
  <si>
    <t>GLI AFFIDAMENTI SOTTO SOGLIA UE DIRETTI E NEGOZIATI</t>
  </si>
  <si>
    <t>Corso in streaming: "Riforme processuali e ADR - Il nuovo volto degli strumenti di giustizia privata"</t>
  </si>
  <si>
    <t>10336480016</t>
  </si>
  <si>
    <t>CONVENIA</t>
  </si>
  <si>
    <t>Accesso ai documenti amministrativi: focus alla luce degli ultimi interventi della giurisprudenza</t>
  </si>
  <si>
    <t>Machine Learning in Stata: un'introduzione | Modulo I</t>
  </si>
  <si>
    <t>Tstat srl</t>
  </si>
  <si>
    <t>LE PROVE NEL PROCESSO CIVILE</t>
  </si>
  <si>
    <t>GIUFFRE' FRANCIS LEFEBVRE SPA</t>
  </si>
  <si>
    <t>Commercio: la gestione del rapporto di lavoro e della busta paga</t>
  </si>
  <si>
    <t>Z0E3589E6F</t>
  </si>
  <si>
    <t>Corso interno su “time management e problem solving” - attività di docenza</t>
  </si>
  <si>
    <t>10491650585</t>
  </si>
  <si>
    <t>Prof.ssa Patrizia Cinti</t>
  </si>
  <si>
    <t>ZAF3589EB0</t>
  </si>
  <si>
    <t>Corso interno su “time management e problem solving” - componente realtà virtuale</t>
  </si>
  <si>
    <t>12555611008</t>
  </si>
  <si>
    <t>Gestione 3C S.r.l. Unipersonale</t>
  </si>
  <si>
    <t>Concorsi pubblici: istruttoria, ammissioni, esclusioni dei candidati</t>
  </si>
  <si>
    <t>Corso in streaming "Il contenzioso sugli atti delle Autorità amministrative indipendenti"</t>
  </si>
  <si>
    <t>06222110014</t>
  </si>
  <si>
    <t>PARADIGMA SRL</t>
  </si>
  <si>
    <t>(webinar) su SARBANES-OXLEY ACT (SOX)</t>
  </si>
  <si>
    <t>04400441004</t>
  </si>
  <si>
    <t xml:space="preserve">UNIVERSITA' DEGLI STUDI DI ROMA TRE </t>
  </si>
  <si>
    <t>REVISIONE DEI PREZZI, PROCEDURE PNRR, SUBAPPALTO: IL PUNTO DELLA SITUAZIONE</t>
  </si>
  <si>
    <t>03440481202</t>
  </si>
  <si>
    <t>Appaltiamo s.r.l.</t>
  </si>
  <si>
    <t>Corte dei Conti, duplice funzione: giurisdizione e controllo</t>
  </si>
  <si>
    <t>Linee guida AGID su gestione, formazione e conservazione dei documenti informatici: azioni e adempimenti dal 1° gennaio 2022</t>
  </si>
  <si>
    <t xml:space="preserve">Oneri di completamento del 56° Corso di Formazione per Analisti Finanziari AIAF-CEFA-CIIA </t>
  </si>
  <si>
    <t>Sostenibilità: strategie di comunicazione</t>
  </si>
  <si>
    <t>SISTEMI DI INTELLIGENZA ARTIFICIALE E TUTELA DELLA PRIVACY 2022</t>
  </si>
  <si>
    <t>Corso collettivo in streaming "Codice dei contratti pubblici 2022. procedure d'appalto e subappalto: novità e criticità"</t>
  </si>
  <si>
    <t>Le spese di formazione delle P.A.: attribuzione degli incarichi e gestione fiscale</t>
  </si>
  <si>
    <t>IL NUOVO PIGNORAMENTO PRESSO TERZI DOPO LA RIFORMA DEL PROCESSO CIVILE</t>
  </si>
  <si>
    <t>LE PENSIONI ANTICIPATE NEL 2022 DOPO LA LEGGE 234/21 E CIRC. INPS</t>
  </si>
  <si>
    <t xml:space="preserve">60° Corso di Formazione per Analisti Finanziari AIAF-CEFA-CIIA </t>
  </si>
  <si>
    <t>CORTE DEI CONTI: GIURISDIZIONE E CONTROLLO</t>
  </si>
  <si>
    <t>MACHINE LEARNING AND ARTIFICIAL INTELLIGENCE FOR FINANCIAL SUPERVISORS</t>
  </si>
  <si>
    <t>Deutsche Bundesbank</t>
  </si>
  <si>
    <t>Controllo e Internal Auditing</t>
  </si>
  <si>
    <t>02893990156</t>
  </si>
  <si>
    <t xml:space="preserve">AIIA - ASSOCIAZIONE ITALIANA INTERNAL AUDITORS </t>
  </si>
  <si>
    <t>Crisi d'impresa: recepimento della Direttiva Insolvency e nuova composizione negoziata</t>
  </si>
  <si>
    <t>Z233620D1B</t>
  </si>
  <si>
    <t>Acquisto n. 50 corsi in modalità a distanza in materia di sicurezza sul lavoro per i tirocinanti</t>
  </si>
  <si>
    <t>. 9 ore di docenza sul tema "Crisi di impresa e come recuperare i crediti"</t>
  </si>
  <si>
    <t>DLBMRA71C11H501E</t>
  </si>
  <si>
    <t>Dott. Mario Del Bene</t>
  </si>
  <si>
    <t>nterest Rate Risk and ALM in Banks</t>
  </si>
  <si>
    <t>Il nuovo MePA 2022 a seguito del progetto di evoluzione del MePA Consip</t>
  </si>
  <si>
    <t>07189200723</t>
  </si>
  <si>
    <t>Media Consult Srl</t>
  </si>
  <si>
    <t>Z1D360892F</t>
  </si>
  <si>
    <t>Acquisizione di n. 11 webinar di formazione in materia di smart working e lavoro ibrido.</t>
  </si>
  <si>
    <t>04841830963</t>
  </si>
  <si>
    <t>PARTNERS4INNOVATION S.R.L</t>
  </si>
  <si>
    <t>Summer School Professionalizzante Sulla Qualità Della Regolazione</t>
  </si>
  <si>
    <t>02635620582</t>
  </si>
  <si>
    <t>Libera Universita Maria Ss. Assunta - LUMSA</t>
  </si>
  <si>
    <t>English and Communication Skills for European Supervisors</t>
  </si>
  <si>
    <t>LA PARTECIPAZIONE A COLLEGI E COMMISSIONI E LA FISCALITA' DEI COMPENSI EROGATI A DIPENDENTI DI TERZI E PER INCARICHI ESTERNI</t>
  </si>
  <si>
    <t>PRIVACY, TRAPARENZA E ACCESSO AGLI ATTI NELLA P.A.</t>
  </si>
  <si>
    <t>02386580209</t>
  </si>
  <si>
    <t>AIDEM SRL</t>
  </si>
  <si>
    <t>Semplificazione degli acquisti di beni e servizi informatici strumentali alla realizzazione del PNRR</t>
  </si>
  <si>
    <t>CORSO PER COMPONENTI DEGLI ORGANISMI DI VIGILANZA D. LGS. 231/2001 (corso e-learning).</t>
  </si>
  <si>
    <t>03929800278</t>
  </si>
  <si>
    <t>VEGA FORMAZIONE SRL</t>
  </si>
  <si>
    <t>CORSO MODELLI ORGANIZZATIVI DI CUI AL D. LGS. 231/01 (CORSO E-LEARNING)</t>
  </si>
  <si>
    <t>Investment Strategies and Portfolio Management</t>
  </si>
  <si>
    <t>THE WHARTON SCHOOL - UNIVERSITY OF PENNSYLVANIA</t>
  </si>
  <si>
    <t>Machine Learning and Artificial Intelligence for Financial Supervisors</t>
  </si>
  <si>
    <t xml:space="preserve">Corso interno sulle tecniche di Problem Solving - Edizione aggiuntiva 2022 </t>
  </si>
  <si>
    <t xml:space="preserve">Corso interno sulle tecniche di Problem Solving, componente realtà virtuale - Edizione aggiuntiva 2022 </t>
  </si>
  <si>
    <t>Risk Management and Sustainability in an Era of Pandemic and Climate Change</t>
  </si>
  <si>
    <t>Anticorruzione, trasparenza ed accesso nella gestione delle gare e dei contratti pubblici</t>
  </si>
  <si>
    <t>Corso base sulla nuova piattaforma ‘MePA 2022'</t>
  </si>
  <si>
    <t>“Corso avanzato sulle gare telematiche sottosoglia: focus operativo sulla nuova piattaforma ‘MePA 2022'</t>
  </si>
  <si>
    <t>n. 13 giornate di formazione per il personale della DIF per gestire, amministrare e manutenere la piattaforma RedHat Openshift</t>
  </si>
  <si>
    <t>11702620151</t>
  </si>
  <si>
    <t>Fast Lane Italia S.r.l</t>
  </si>
  <si>
    <t>Machine Learning and Artificial Intelligence for Financial Supervisors - Level 1 - ESE</t>
  </si>
  <si>
    <t>ZA0373BB4E</t>
  </si>
  <si>
    <t>corso di formazione sull’applicativo Microsoft Excel per n. 15 partecipanti</t>
  </si>
  <si>
    <t>15363801000</t>
  </si>
  <si>
    <t>CEFI INFORMATICA S.R.L.</t>
  </si>
  <si>
    <t>La disciplina del TFS e del TFR, i fondi pensione e la previdenza complementare</t>
  </si>
  <si>
    <t>02145541005</t>
  </si>
  <si>
    <t>CEIDA CENTRO ITALIANO DI DIREZIONE AZIENDALE SRL</t>
  </si>
  <si>
    <t>I CONTROLLI DELLE PA SULLA REGOLARITA' DELLE FATTURE E AL PAGAMENTO</t>
  </si>
  <si>
    <t>ZA43761664</t>
  </si>
  <si>
    <t xml:space="preserve">Corso interno sulle tematiche dei Modelli Organizzativi Previsti dal Decreto 231/01 per revisori </t>
  </si>
  <si>
    <t>03475640870</t>
  </si>
  <si>
    <t>Manlio D'agostino Panebianco</t>
  </si>
  <si>
    <t>Fit &amp; Proper</t>
  </si>
  <si>
    <t>ZB5379342C</t>
  </si>
  <si>
    <t xml:space="preserve">Corsi in modalità a distanza sui rischi del lavoro da remoto </t>
  </si>
  <si>
    <t>Laboratorio operativo on line sulle procedure sotto-soglia e la nuova Piattaforma MePA 2022</t>
  </si>
  <si>
    <t>IL COLLOCAMENTO MIRATO DELLE PERSONE CON DISABILITA': LE NUOVE LINEE GUIDA (DM 43/2022)</t>
  </si>
  <si>
    <t>La giurisprudenza della Adunanza Plenaria in materia di contratti pubblici - profili sostanziali</t>
  </si>
  <si>
    <t>LA STRATEGIA DEGLI APPALTI INNOVATIVI</t>
  </si>
  <si>
    <t>SUB-APPALTO E SUB-AFFIDAMENTO NEI LAVORI PUBBLICI</t>
  </si>
  <si>
    <t>05383391009</t>
  </si>
  <si>
    <t>Legislazione Tecnica srl</t>
  </si>
  <si>
    <t>LE VARIANTI NEI LAVORI PUBBLICI</t>
  </si>
  <si>
    <t>Corso in streaming per n. 11 dipendenti "Sustainable Corporate Governance"</t>
  </si>
  <si>
    <t>Z9D390E3C9</t>
  </si>
  <si>
    <t xml:space="preserve">n. 2 edizioni del corso interno sulla comunicazione efficace </t>
  </si>
  <si>
    <t>10268501003</t>
  </si>
  <si>
    <t>Stefano Cera</t>
  </si>
  <si>
    <t>Decreto trasparenza e novita in materia di lavoro</t>
  </si>
  <si>
    <t>IL DECRETO TRASPARENZA SUL LAVORO E I NUOVI ADEMPIMENTI DATORIALI</t>
  </si>
  <si>
    <t>Procedimento amministrativo e processo e PNRR</t>
  </si>
  <si>
    <t>Un sistema di Gestione Documentale Efficace per rendere più semplice l'azione amministrativa</t>
  </si>
  <si>
    <t xml:space="preserve">61° Corso di Formazione per Analisti Finanziari AIAF-CEFA-CIIA </t>
  </si>
  <si>
    <t>TUTTE LE NOVITA' SU CONGEDI PARENTALI E DI PATERNITA', PERMESSI L104/92 E CONGEDO BIENNALE DISABILI PRIORITA' LAVORO AGILE: LE NUOVE MISURE DI CONCILIAZIONE VITA - LAVORO IN VIGORE DAL 13/08/2022 (D.Lgs 105/2022)</t>
  </si>
  <si>
    <t>05034240753</t>
  </si>
  <si>
    <t>PA360 SRL</t>
  </si>
  <si>
    <t>La lettera di contestazione disciplinare</t>
  </si>
  <si>
    <t>DATA SCIENCE &amp; BUSINESS ANALYTICS</t>
  </si>
  <si>
    <t>MIP POLITECNICO DI MILANO - GRADUATE SCHOOL OF BUSINESS SOCIETA' CONSORTILE PER AZIONI</t>
  </si>
  <si>
    <t>Corso di Formazione sul Processo Civile Telematico e sulla Giustizia Digitale - nr. 17 partecipanti</t>
  </si>
  <si>
    <t xml:space="preserve">PC Academy srl </t>
  </si>
  <si>
    <t xml:space="preserve"> 08875251004</t>
  </si>
  <si>
    <t>Blockchain n&amp; Distributed Ledger</t>
  </si>
  <si>
    <t>Le novità in materia di tassazione del reddito di lavoro dipendente - La gestione del conguaglio di fine anno</t>
  </si>
  <si>
    <t>Z9138A27D4</t>
  </si>
  <si>
    <t>Corso interno sul linguaggio di programmazione Python</t>
  </si>
  <si>
    <t>DCCGTN56E19H501N</t>
  </si>
  <si>
    <t>Prof. Agostino Di Ciaccio</t>
  </si>
  <si>
    <t>Z6E38A2833</t>
  </si>
  <si>
    <t>FRRMRT74A19B963A</t>
  </si>
  <si>
    <t>Prof. Umberto Ferraro Petrillo</t>
  </si>
  <si>
    <t>IL CERIMONIALE E LE SUE APPLICAZIONI. REGOLE GENERALI</t>
  </si>
  <si>
    <t>ACCADEMIA DEL CERIMONIALE, PROTOCOL ACADEMY</t>
  </si>
  <si>
    <t>LA NOTIFICAZIONE DEGLI ATTI E LA DIGITALIZZAZIONE DELLA P.A.: CORSO BASE</t>
  </si>
  <si>
    <t>05256930263</t>
  </si>
  <si>
    <t>CENTRO STUDI AMMINISTRATIVI ALTA PADOVANA DI BRUGNOLI DIVA</t>
  </si>
  <si>
    <t>CORSO ANNUALE DI AGGIORNAMENTO PER LA PA IN MATERIA GIURIDICHE, TRIBUTARIE E DI CONTABILITA' 2022/2023</t>
  </si>
  <si>
    <t>05626491004</t>
  </si>
  <si>
    <t xml:space="preserve">DIREKTA SRL - ISTITUTO DI ALTA FORMAZIONE GIURIDICA </t>
  </si>
  <si>
    <t>Master Online - I principi contabili internazionali IAS/IFRS</t>
  </si>
  <si>
    <t>LA MAPPATURA INTEGRATA DEI PROCESSI E LA VALUTAZIONE DELRISCHIO CORRUTTIVO</t>
  </si>
  <si>
    <t>VIOLAZIONI FISCALI E CONTRIBUTIVE ED ESCLUSIONE DALLE GARE: LE NOVITA'</t>
  </si>
  <si>
    <t>ASSOLVIMENTO DELI OBBLIGHI DI PUBBLICAZIONE SUI SITI WEB DELLE P.A</t>
  </si>
  <si>
    <t>Bitcoin: prodotti finanziari o strumenti finanziari'</t>
  </si>
  <si>
    <t>Convegno annuale associazione formatori AIF</t>
  </si>
  <si>
    <t>02320310150</t>
  </si>
  <si>
    <t>AIF - ASSOCIAZIONE ITALIANA FORMATORI</t>
  </si>
  <si>
    <t>Corso di formazione per i rappresentanti dei lavoratori (sedi di Roma e Milano)</t>
  </si>
  <si>
    <t>Il giudizio in Cassazione dopo la riforma del Processo Civile (n. 5 dipendenti)</t>
  </si>
  <si>
    <t>La riforma del Processo Civile (n. 6 dipendenti)</t>
  </si>
  <si>
    <t>AVVOCATI INCARDINATI NELLE P.A.: COMPENSI PROFESSIONALI E RETRIBUZIONE</t>
  </si>
  <si>
    <t>La malattia professionale: compilazione della denuncia e dei questionari</t>
  </si>
  <si>
    <t>I controlli sulle autocertificazioni e sulla documentazione amministrativa</t>
  </si>
  <si>
    <t>Corso intensivo residenziale di lingua inglese</t>
  </si>
  <si>
    <t>07955130724</t>
  </si>
  <si>
    <t>SPEAK SRL</t>
  </si>
  <si>
    <t>Z683690E5A</t>
  </si>
  <si>
    <t>Formazione in ambito di attività di controlli interni alla luce del Sarbanes Oxley Act</t>
  </si>
  <si>
    <t>Corso base sull'analisi e composizione del cedolino paga</t>
  </si>
  <si>
    <t>Z163995697</t>
  </si>
  <si>
    <t xml:space="preserve">n. 2 ulteriori edizioni del corso interno sulla comunicazione efficace </t>
  </si>
  <si>
    <t>Corso in streaming “Crypto-assets: la nuova regolamentazione al via”</t>
  </si>
  <si>
    <t>Corso on-line:  "Organi Collegiali in presenza, a distanza e misti"</t>
  </si>
  <si>
    <t>SPEAK srl</t>
  </si>
  <si>
    <t>CASSA ECONOMALE, GIUSTIFICATIVI DI SPESA E CARTE DI CREDITO</t>
  </si>
  <si>
    <t>PAUSE, FERIE E RIPOSI DEI DIPENDENTI E DEI DIRIGENTI DELLA PA</t>
  </si>
  <si>
    <t>DAL DLGS 50/2016 VERSO IL NUOVO CODICE DEI CONTRATTI PUBBLICI</t>
  </si>
  <si>
    <t>Corso on-line:  "IL PROCESSO AMMINISTRATIVO"</t>
  </si>
  <si>
    <t>Corso on-line "Operazioni con parti correlate"</t>
  </si>
  <si>
    <t>Corso on-line:  "Le operazioni con parti correlate"</t>
  </si>
  <si>
    <t>Conflitto di interessi: la gestione di dichiarazioni, verifiche, controlli e incarichi</t>
  </si>
  <si>
    <t>Corso on-line:  "Regolamento EMIR (European Market Infrastructure Regulation)"</t>
  </si>
  <si>
    <t>08953850966</t>
  </si>
  <si>
    <t>ASSIOM FOREX SERVIZI S.R.L.</t>
  </si>
  <si>
    <t>LEADERSHIP DAY</t>
  </si>
  <si>
    <t>01999300443</t>
  </si>
  <si>
    <t>Roi Group Srl</t>
  </si>
  <si>
    <t>Master in Business Intelligence e Big Data Analytics</t>
  </si>
  <si>
    <t>12621570154</t>
  </si>
  <si>
    <t>UNIVERSITA' DEGLI STUDI DI MILANO - BICOCCA</t>
  </si>
  <si>
    <t>OBBLIGHI DI RENDICONTAZIONE DEGLI AGENTI CONTABILI E PROGRAMMA SIRECO</t>
  </si>
  <si>
    <t>Corso on-line:  "La redazione del capitolato speciale e del contratto negli appalti"</t>
  </si>
  <si>
    <t>Il nuovo Codice dei Contratti Pubblici</t>
  </si>
  <si>
    <t>ZB63A26758</t>
  </si>
  <si>
    <t>Corso in streaming: "Esame operativo del codice dei contratti 2023 - Focus su argomenti specifici: procedure negoziate senza bando sotto-soglia e in ragione dei presupposti e modifiche in corso di esecuzione'"</t>
  </si>
  <si>
    <t>Corso on-line:  "REDAZIONE E GESTIONE DEL PIANO DI PREVENZ. CORRUZ. ALLA LUCE DEL PNA ANAC 2023-2025: NUOVA SCADENZA 31/3/23"</t>
  </si>
  <si>
    <t>Business Continuity e resilienza operativa: le attività di verifica</t>
  </si>
  <si>
    <t>Corso Executive Professione sostenibilità: i benefici per le imprese XXI edizione</t>
  </si>
  <si>
    <t xml:space="preserve">Corso on-line:  "Impugnazioni e processo penale telematico" </t>
  </si>
  <si>
    <t>03366740961</t>
  </si>
  <si>
    <t>Fondazione Forense di Monza</t>
  </si>
  <si>
    <t>Corso on-line:  "Udienza preliminare, processo in assenza e procedimenti speciali"</t>
  </si>
  <si>
    <t>Corso on-line:  "Come redigere la motivazione per rendere l'atto inattaccabile"</t>
  </si>
  <si>
    <t>IL GOLDEN POWER: poteri del Governo di salvaguardia degli Assetti Proprietari nei settori strategici e di interesse nazionale</t>
  </si>
  <si>
    <t>Il nuovo giudizio di Cassazione e le novità sul PCT alla luce della riforma</t>
  </si>
  <si>
    <t>11415921003</t>
  </si>
  <si>
    <t>UNI.RIZ SRL</t>
  </si>
  <si>
    <t>Corso on-line:  "Audit report writing"</t>
  </si>
  <si>
    <t>TRASPARENZA, ACCESSO E TUTELA DELLA PRIVACY NELLA GESTIONE DEI CONCORSI PUBBLICI'</t>
  </si>
  <si>
    <t>Corso sull'applicativo moodle</t>
  </si>
  <si>
    <t>LINFA DIGITAL</t>
  </si>
  <si>
    <t>IL NUOVO CODICE DEI CONTRATTI PUBBLICI - II EDIZIONE IN WEBINAIR</t>
  </si>
  <si>
    <t xml:space="preserve">62° Corso di Formazione per Analisti Finanziari AIAF-CEFA-CIIA </t>
  </si>
  <si>
    <t>PRINCIPI GENERALI E DIGITALIZZAZIONE IN MATERIA DI CONTRATTI PUBBLICI</t>
  </si>
  <si>
    <t>Il nuovo codice dei contratti pubblici</t>
  </si>
  <si>
    <t>La qualificazione delle stazioni appaltanti e delle centrali di committenza</t>
  </si>
  <si>
    <t>LA MAPPATURA DELLE COMPETENZE</t>
  </si>
  <si>
    <t xml:space="preserve">SCUOLA DI PALO ALTO SRL </t>
  </si>
  <si>
    <t>il responsabile unico di progetto nel nuovo codice appalti</t>
  </si>
  <si>
    <t>PROGRAMMAZIONE E PROCEDURE DI SCELTA DEL CONTRAENTE IN MATERIA DI CONTRATTI PUBBLICI</t>
  </si>
  <si>
    <t>Catch-up course - Innovazione, sostenibilità e trasformazione digitale</t>
  </si>
  <si>
    <t>08856220960</t>
  </si>
  <si>
    <t>IDA - ISTITUTO DEGLI AMMINISTRATORI SRL</t>
  </si>
  <si>
    <t>La verifica dei requisiti e la gestione del FVOE nel nuovo Codice dei Contratti Pubblici</t>
  </si>
  <si>
    <t>Il nuovo whistleblowing: gestione del segnalante e delle segnalazioni nel rispetto della normativa privacy</t>
  </si>
  <si>
    <t>Direzione e coordinamento dei gruppi societari</t>
  </si>
  <si>
    <t>Transizione Digitale e Cybersicurezza nella Pubblica Amministrazione</t>
  </si>
  <si>
    <t>04533430403</t>
  </si>
  <si>
    <t>Accademia Europea Societa' Cooperativa</t>
  </si>
  <si>
    <t>Le modalità di affidamento semplificato alla luce del Nuovo Codice d.lgs. 36/2023</t>
  </si>
  <si>
    <t>Gamification e Risorse Digitali</t>
  </si>
  <si>
    <t>TECH EDUCATION RIGHTS &amp; TECHNOLOGIES S.L.U</t>
  </si>
  <si>
    <t>EFFAS Summer School 2023</t>
  </si>
  <si>
    <t xml:space="preserve">EFFAS THE EUROPEAN FEDERATION OF FINANCIAL ANALYSTS SOCIETIES </t>
  </si>
  <si>
    <t>SECURITISATION: REGULATION AND PRACTICE</t>
  </si>
  <si>
    <t>ISTITUTO UNIVERSITARIO EUROPEO</t>
  </si>
  <si>
    <t>Z263B4D9B0</t>
  </si>
  <si>
    <t>La logica dei processi e della loro misurazione</t>
  </si>
  <si>
    <t>Rimborso iscrizione a corso "International Market Abuse Seminar"</t>
  </si>
  <si>
    <t>RSSNTN72P04C495M</t>
  </si>
  <si>
    <t>Russo Antonio</t>
  </si>
  <si>
    <t>Z643B699CE</t>
  </si>
  <si>
    <t>Acquisizione corsi sull’uso di Excel, PowerPoint e Word</t>
  </si>
  <si>
    <t>06373061008</t>
  </si>
  <si>
    <t>Cefi Informatica S.r.l.</t>
  </si>
  <si>
    <t>I NUOVI ATTI DEL PROCESSO CIVILE</t>
  </si>
  <si>
    <t>IFRS Foundation Conference 2023</t>
  </si>
  <si>
    <t xml:space="preserve">IFRS FOUNDATION </t>
  </si>
  <si>
    <t>Le tecniche di redazione dei capitolati di servizi e forniture alla luce del Nuovo Codice dei Contratti</t>
  </si>
  <si>
    <t>La gara con l'offerta economicamente più vantaggiosa. Cosa cambia con il nuovo codice'</t>
  </si>
  <si>
    <t>6th Enforcement workshop</t>
  </si>
  <si>
    <t>IFIAR</t>
  </si>
  <si>
    <t>FINANZA SOSTENIBILE - CORSO EXECUTIVE</t>
  </si>
  <si>
    <t>IL NUOVO CODICE DEI CONTRATTI PUBBLICI (D.LGS.36/23)</t>
  </si>
  <si>
    <t>TRASPARENZA, ACCESSO E PRIVACY: ADEMPIMENTI E BILANCIAMENTO DEI DIRITTI</t>
  </si>
  <si>
    <t>Il nuovo Codice dei contratti pubblici: le novità in materia di digitalizzazione e trasparenza</t>
  </si>
  <si>
    <t>I criteri di aggiudicazione nel nuovo Codice dei contratti pubblici (D.Lgs. n. 36/2023)</t>
  </si>
  <si>
    <t>ZD03C27021</t>
  </si>
  <si>
    <t>corso di formazione sull’uso di Excel e Power Point - ulteriori edizioni</t>
  </si>
  <si>
    <t>RICORSO PER CASSAZIONE ALLA LUCE DELLA RIFORMA CARTABIA</t>
  </si>
  <si>
    <t>Crisi d'impresa e procedure concorsuali</t>
  </si>
  <si>
    <t>09977670968</t>
  </si>
  <si>
    <t>Ordine dei Dottori commercialisti e degli Esperti contabili di Milano</t>
  </si>
  <si>
    <t>Crisi dimpresa e procedure concorsuali</t>
  </si>
  <si>
    <t>I principi contabili internazionali IAS/IFRS</t>
  </si>
  <si>
    <t>Central Counterparties, Clearing Houses and Exchanges</t>
  </si>
  <si>
    <t>FITCH Learning LTD</t>
  </si>
  <si>
    <t>LA DENUNCIA/COMUNICAZIONE DI INFORTUNIO SUL LAVORO ALL'INAIL</t>
  </si>
  <si>
    <t>Corso di specializzazione online sul nuovo Codice dei contratti pubblici (6^ edizione)</t>
  </si>
  <si>
    <t>Executive Programme in Enterprise Risk Management</t>
  </si>
  <si>
    <t>CONGEDI E PERMESSI DEL PERSONALE: NUOVE REGOLE ADEMPIMENTI ISTRUZIONI INPS</t>
  </si>
  <si>
    <t>ZF23BAAA1E</t>
  </si>
  <si>
    <t>ZF53A1AA6D</t>
  </si>
  <si>
    <t>servizi “Postaonline tramite collegamento Host to Host” per 24 mesi</t>
  </si>
  <si>
    <t>Poste italiane S.p.A.</t>
  </si>
  <si>
    <t>Traduzione lettera contestazione in lingua svedese</t>
  </si>
  <si>
    <t>Interlanguage Srl</t>
  </si>
  <si>
    <t>Z903BE2B4E</t>
  </si>
  <si>
    <t>Servizio Supporto feedback manageriali</t>
  </si>
  <si>
    <t>IL SOLE 24 ORE S.P.A.</t>
  </si>
  <si>
    <t>Riepilogo contratti al 30 settembre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</si>
</sst>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000000000"/>
    <numFmt numFmtId="165" formatCode="[$-410]d\-mmm\-yy;@"/>
    <numFmt numFmtId="166" formatCode="0.00;[Red]0.00"/>
    <numFmt numFmtId="167" formatCode="_-* #,##0.00\ [$€-410]_-;\-* #,##0.00\ [$€-410]_-;_-* &quot;-&quot;??\ [$€-410]_-;_-@_-"/>
  </numFmts>
  <fonts count="10" x14ac:knownFonts="1">
    <font>
      <sz val="11"/>
      <color theme="1"/>
      <name val="Calibri"/>
      <family val="2"/>
      <scheme val="minor"/>
    </font>
    <font>
      <sz val="11"/>
      <name val="Calibri"/>
      <family val="2"/>
      <scheme val="minor"/>
    </font>
    <font>
      <u/>
      <sz val="11"/>
      <color theme="1"/>
      <name val="Calibri"/>
      <family val="2"/>
      <scheme val="minor"/>
    </font>
    <font>
      <i/>
      <sz val="11"/>
      <name val="Calibri"/>
      <family val="2"/>
      <scheme val="minor"/>
    </font>
    <font>
      <sz val="11"/>
      <color theme="1"/>
      <name val="Calibri"/>
      <family val="2"/>
      <scheme val="minor"/>
    </font>
    <font>
      <sz val="10"/>
      <name val="Times New Roman"/>
      <family val="1"/>
    </font>
    <font>
      <sz val="11"/>
      <name val="Calibri"/>
      <family val="2"/>
    </font>
    <font>
      <sz val="11"/>
      <name val="Verdana"/>
      <family val="2"/>
    </font>
    <font>
      <sz val="10"/>
      <name val="Segoe UI"/>
      <family val="2"/>
    </font>
    <font>
      <sz val="14"/>
      <name val="Arial"/>
      <family val="2"/>
    </font>
  </fonts>
  <fills count="3">
    <fill>
      <patternFill patternType="none"/>
    </fill>
    <fill>
      <patternFill patternType="gray125"/>
    </fill>
    <fill>
      <patternFill patternType="solid">
        <fgColor theme="4" tint="0.59999389629810485"/>
        <bgColor indexed="64"/>
      </patternFill>
    </fill>
  </fills>
  <borders count="6">
    <border>
      <left/>
      <right/>
      <top/>
      <bottom/>
      <diagonal/>
    </border>
    <border>
      <left style="thin">
        <color theme="4" tint="0.39997558519241921"/>
      </left>
      <right/>
      <top style="thin">
        <color theme="4" tint="0.39997558519241921"/>
      </top>
      <bottom style="thin">
        <color theme="4" tint="0.39997558519241921"/>
      </bottom>
      <diagonal/>
    </border>
    <border>
      <left/>
      <right/>
      <top style="thin">
        <color theme="4" tint="0.39997558519241921"/>
      </top>
      <bottom style="thin">
        <color theme="4" tint="0.39997558519241921"/>
      </bottom>
      <diagonal/>
    </border>
    <border>
      <left style="thin">
        <color indexed="64"/>
      </left>
      <right style="thin">
        <color indexed="64"/>
      </right>
      <top style="thin">
        <color indexed="64"/>
      </top>
      <bottom style="thin">
        <color indexed="64"/>
      </bottom>
      <diagonal/>
    </border>
    <border>
      <left/>
      <right style="thin">
        <color theme="4" tint="0.39997558519241921"/>
      </right>
      <top style="thin">
        <color theme="4" tint="0.39997558519241921"/>
      </top>
      <bottom style="thin">
        <color theme="4" tint="0.39997558519241921"/>
      </bottom>
      <diagonal/>
    </border>
    <border>
      <left/>
      <right style="thin">
        <color theme="4" tint="0.39997558519241921"/>
      </right>
      <top/>
      <bottom/>
      <diagonal/>
    </border>
  </borders>
  <cellStyleXfs count="2">
    <xf numFmtId="0" fontId="0" fillId="0" borderId="0"/>
    <xf numFmtId="43" fontId="4" fillId="0" borderId="0" applyFont="0" applyFill="0" applyBorder="0" applyAlignment="0" applyProtection="0"/>
  </cellStyleXfs>
  <cellXfs count="112">
    <xf numFmtId="0" fontId="0" fillId="0" borderId="0" xfId="0"/>
    <xf numFmtId="0" fontId="2" fillId="0" borderId="0" xfId="0" applyFont="1"/>
    <xf numFmtId="49" fontId="1" fillId="2" borderId="0" xfId="0" applyNumberFormat="1" applyFont="1" applyFill="1" applyAlignment="1">
      <alignment horizontal="left"/>
    </xf>
    <xf numFmtId="49" fontId="1" fillId="2" borderId="0" xfId="0" applyNumberFormat="1" applyFont="1" applyFill="1"/>
    <xf numFmtId="49" fontId="1" fillId="2" borderId="0" xfId="0" applyNumberFormat="1" applyFont="1" applyFill="1" applyAlignment="1">
      <alignment wrapText="1"/>
    </xf>
    <xf numFmtId="2" fontId="1" fillId="2" borderId="0" xfId="0" applyNumberFormat="1" applyFont="1" applyFill="1"/>
    <xf numFmtId="165" fontId="1" fillId="2" borderId="0" xfId="0" applyNumberFormat="1" applyFont="1" applyFill="1"/>
    <xf numFmtId="0" fontId="1" fillId="2" borderId="0" xfId="0" applyFont="1" applyFill="1"/>
    <xf numFmtId="49" fontId="1" fillId="2" borderId="0" xfId="0" applyNumberFormat="1" applyFont="1" applyFill="1" applyAlignment="1">
      <alignment horizontal="left" wrapText="1"/>
    </xf>
    <xf numFmtId="2" fontId="1" fillId="2" borderId="0" xfId="0" applyNumberFormat="1" applyFont="1" applyFill="1" applyAlignment="1">
      <alignment wrapText="1"/>
    </xf>
    <xf numFmtId="165" fontId="1" fillId="2" borderId="0" xfId="0" applyNumberFormat="1" applyFont="1" applyFill="1" applyAlignment="1">
      <alignment wrapText="1"/>
    </xf>
    <xf numFmtId="0" fontId="1" fillId="2" borderId="0" xfId="0" applyFont="1" applyFill="1" applyAlignment="1">
      <alignment wrapText="1"/>
    </xf>
    <xf numFmtId="49" fontId="1" fillId="0" borderId="0" xfId="1" applyNumberFormat="1" applyFont="1" applyFill="1" applyAlignment="1" applyProtection="1">
      <alignment horizontal="right"/>
      <protection locked="0"/>
    </xf>
    <xf numFmtId="2" fontId="1" fillId="0" borderId="0" xfId="0" applyNumberFormat="1" applyFont="1" applyFill="1"/>
    <xf numFmtId="2" fontId="1" fillId="0" borderId="0" xfId="0" applyNumberFormat="1" applyFont="1" applyFill="1" applyAlignment="1">
      <alignment horizontal="right" vertical="top" wrapText="1"/>
    </xf>
    <xf numFmtId="2" fontId="1" fillId="0" borderId="2" xfId="0" applyNumberFormat="1" applyFont="1" applyFill="1" applyBorder="1"/>
    <xf numFmtId="0" fontId="1" fillId="0" borderId="0" xfId="0" applyFont="1" applyFill="1"/>
    <xf numFmtId="166" fontId="6" fillId="0" borderId="0" xfId="0" applyNumberFormat="1" applyFont="1" applyFill="1"/>
    <xf numFmtId="2" fontId="1" fillId="0" borderId="5" xfId="0" applyNumberFormat="1" applyFont="1" applyFill="1" applyBorder="1" applyAlignment="1">
      <alignment horizontal="right"/>
    </xf>
    <xf numFmtId="2" fontId="1" fillId="0" borderId="0" xfId="0" applyNumberFormat="1" applyFont="1" applyFill="1" applyAlignment="1">
      <alignment horizontal="right"/>
    </xf>
    <xf numFmtId="4" fontId="1" fillId="0" borderId="0" xfId="0" applyNumberFormat="1" applyFont="1" applyFill="1" applyAlignment="1">
      <alignment horizontal="left"/>
    </xf>
    <xf numFmtId="49" fontId="1" fillId="0" borderId="0" xfId="0" applyNumberFormat="1" applyFont="1" applyFill="1"/>
    <xf numFmtId="49" fontId="1" fillId="0" borderId="0" xfId="0" applyNumberFormat="1" applyFont="1" applyFill="1" applyAlignment="1">
      <alignment wrapText="1"/>
    </xf>
    <xf numFmtId="165" fontId="1" fillId="0" borderId="0" xfId="0" applyNumberFormat="1" applyFont="1" applyFill="1"/>
    <xf numFmtId="0" fontId="1" fillId="0" borderId="0" xfId="0" applyFont="1" applyFill="1" applyAlignment="1">
      <alignment horizontal="left"/>
    </xf>
    <xf numFmtId="14" fontId="1" fillId="0" borderId="0" xfId="0" applyNumberFormat="1" applyFont="1" applyFill="1"/>
    <xf numFmtId="49" fontId="1" fillId="0" borderId="0" xfId="0" applyNumberFormat="1" applyFont="1" applyFill="1" applyAlignment="1">
      <alignment horizontal="left"/>
    </xf>
    <xf numFmtId="0" fontId="1" fillId="0" borderId="0" xfId="0" applyFont="1" applyFill="1" applyAlignment="1">
      <alignment wrapText="1"/>
    </xf>
    <xf numFmtId="164" fontId="1" fillId="0" borderId="0" xfId="0" applyNumberFormat="1" applyFont="1" applyFill="1" applyAlignment="1">
      <alignment horizontal="left"/>
    </xf>
    <xf numFmtId="164" fontId="1" fillId="0" borderId="0" xfId="0" quotePrefix="1" applyNumberFormat="1" applyFont="1" applyFill="1" applyAlignment="1">
      <alignment horizontal="left"/>
    </xf>
    <xf numFmtId="164" fontId="1" fillId="0" borderId="0" xfId="0" applyNumberFormat="1" applyFont="1" applyFill="1" applyAlignment="1">
      <alignment wrapText="1"/>
    </xf>
    <xf numFmtId="164" fontId="1" fillId="0" borderId="0" xfId="0" applyNumberFormat="1" applyFont="1" applyFill="1"/>
    <xf numFmtId="49" fontId="1" fillId="0" borderId="0" xfId="0" quotePrefix="1" applyNumberFormat="1" applyFont="1" applyFill="1"/>
    <xf numFmtId="4" fontId="1" fillId="0" borderId="0" xfId="0" applyNumberFormat="1" applyFont="1" applyFill="1"/>
    <xf numFmtId="49" fontId="1" fillId="0" borderId="0" xfId="0" quotePrefix="1" applyNumberFormat="1" applyFont="1" applyFill="1" applyAlignment="1">
      <alignment horizontal="right" wrapText="1"/>
    </xf>
    <xf numFmtId="49" fontId="1" fillId="0" borderId="0" xfId="0" applyNumberFormat="1" applyFont="1" applyFill="1" applyAlignment="1">
      <alignment horizontal="right"/>
    </xf>
    <xf numFmtId="49" fontId="1" fillId="0" borderId="0" xfId="0" applyNumberFormat="1" applyFont="1" applyFill="1" applyAlignment="1">
      <alignment horizontal="right" wrapText="1"/>
    </xf>
    <xf numFmtId="0" fontId="1" fillId="0" borderId="0" xfId="0" applyFont="1" applyFill="1" applyAlignment="1">
      <alignment vertical="center" wrapText="1"/>
    </xf>
    <xf numFmtId="49" fontId="1" fillId="0" borderId="0" xfId="0" applyNumberFormat="1" applyFont="1" applyFill="1" applyProtection="1">
      <protection locked="0"/>
    </xf>
    <xf numFmtId="49" fontId="1" fillId="0" borderId="0" xfId="0" applyNumberFormat="1" applyFont="1" applyFill="1" applyAlignment="1" applyProtection="1">
      <alignment wrapText="1"/>
      <protection locked="0"/>
    </xf>
    <xf numFmtId="49" fontId="1" fillId="0" borderId="0" xfId="0" applyNumberFormat="1" applyFont="1" applyFill="1" applyAlignment="1" applyProtection="1">
      <alignment horizontal="right"/>
      <protection locked="0"/>
    </xf>
    <xf numFmtId="2" fontId="1" fillId="0" borderId="0" xfId="0" applyNumberFormat="1" applyFont="1" applyFill="1" applyProtection="1">
      <protection locked="0"/>
    </xf>
    <xf numFmtId="165" fontId="1" fillId="0" borderId="0" xfId="0" applyNumberFormat="1" applyFont="1" applyFill="1" applyProtection="1">
      <protection locked="0"/>
    </xf>
    <xf numFmtId="0" fontId="1" fillId="0" borderId="0" xfId="0" applyFont="1" applyFill="1" applyProtection="1">
      <protection locked="0"/>
    </xf>
    <xf numFmtId="0" fontId="1" fillId="0" borderId="0" xfId="0" applyFont="1" applyFill="1" applyAlignment="1" applyProtection="1">
      <alignment horizontal="left"/>
      <protection locked="0"/>
    </xf>
    <xf numFmtId="0" fontId="1" fillId="0" borderId="0" xfId="0" applyFont="1" applyFill="1" applyAlignment="1">
      <alignment vertical="top" wrapText="1"/>
    </xf>
    <xf numFmtId="49" fontId="1" fillId="0" borderId="0" xfId="0" applyNumberFormat="1" applyFont="1" applyFill="1" applyAlignment="1">
      <alignment vertical="top" wrapText="1"/>
    </xf>
    <xf numFmtId="165" fontId="1" fillId="0" borderId="0" xfId="0" applyNumberFormat="1" applyFont="1" applyFill="1" applyAlignment="1">
      <alignment vertical="top" wrapText="1"/>
    </xf>
    <xf numFmtId="49" fontId="1" fillId="0" borderId="2" xfId="0" applyNumberFormat="1" applyFont="1" applyFill="1" applyBorder="1" applyAlignment="1">
      <alignment wrapText="1"/>
    </xf>
    <xf numFmtId="49" fontId="1" fillId="0" borderId="0" xfId="0" applyNumberFormat="1" applyFont="1" applyFill="1" applyAlignment="1">
      <alignment horizontal="right" vertical="top" wrapText="1"/>
    </xf>
    <xf numFmtId="49" fontId="1" fillId="0" borderId="0" xfId="0" quotePrefix="1" applyNumberFormat="1" applyFont="1" applyFill="1" applyAlignment="1">
      <alignment wrapText="1"/>
    </xf>
    <xf numFmtId="0" fontId="1" fillId="0" borderId="0" xfId="0" applyFont="1" applyFill="1" applyAlignment="1" applyProtection="1">
      <alignment wrapText="1"/>
      <protection locked="0"/>
    </xf>
    <xf numFmtId="49" fontId="1" fillId="0" borderId="0" xfId="0" applyNumberFormat="1" applyFont="1" applyFill="1" applyAlignment="1" applyProtection="1">
      <alignment horizontal="right" wrapText="1"/>
      <protection locked="0"/>
    </xf>
    <xf numFmtId="14" fontId="1" fillId="0" borderId="0" xfId="0" applyNumberFormat="1" applyFont="1" applyFill="1" applyProtection="1">
      <protection locked="0"/>
    </xf>
    <xf numFmtId="0" fontId="1" fillId="0" borderId="0" xfId="0" applyFont="1" applyFill="1" applyAlignment="1" applyProtection="1">
      <alignment horizontal="left" wrapText="1"/>
      <protection locked="0"/>
    </xf>
    <xf numFmtId="49" fontId="1" fillId="0" borderId="0" xfId="0" quotePrefix="1" applyNumberFormat="1" applyFont="1" applyFill="1" applyAlignment="1">
      <alignment horizontal="right"/>
    </xf>
    <xf numFmtId="49" fontId="1" fillId="0" borderId="1" xfId="0" applyNumberFormat="1" applyFont="1" applyFill="1" applyBorder="1"/>
    <xf numFmtId="49" fontId="1" fillId="0" borderId="2" xfId="0" applyNumberFormat="1" applyFont="1" applyFill="1" applyBorder="1"/>
    <xf numFmtId="49" fontId="1" fillId="0" borderId="2" xfId="0" quotePrefix="1" applyNumberFormat="1" applyFont="1" applyFill="1" applyBorder="1" applyAlignment="1">
      <alignment wrapText="1"/>
    </xf>
    <xf numFmtId="0" fontId="1" fillId="0" borderId="2" xfId="0" applyFont="1" applyFill="1" applyBorder="1"/>
    <xf numFmtId="165" fontId="1" fillId="0" borderId="2" xfId="0" applyNumberFormat="1" applyFont="1" applyFill="1" applyBorder="1"/>
    <xf numFmtId="49" fontId="1" fillId="0" borderId="2" xfId="0" applyNumberFormat="1" applyFont="1" applyFill="1" applyBorder="1" applyAlignment="1">
      <alignment horizontal="left"/>
    </xf>
    <xf numFmtId="49" fontId="1" fillId="0" borderId="2" xfId="0" quotePrefix="1" applyNumberFormat="1" applyFont="1" applyFill="1" applyBorder="1"/>
    <xf numFmtId="0" fontId="1" fillId="0" borderId="2" xfId="0" applyFont="1" applyFill="1" applyBorder="1" applyAlignment="1">
      <alignment wrapText="1"/>
    </xf>
    <xf numFmtId="49" fontId="1" fillId="0" borderId="0" xfId="0" quotePrefix="1" applyNumberFormat="1" applyFont="1" applyFill="1" applyAlignment="1" applyProtection="1">
      <alignment wrapText="1"/>
      <protection locked="0"/>
    </xf>
    <xf numFmtId="0" fontId="1" fillId="0" borderId="0" xfId="0" quotePrefix="1" applyFont="1" applyFill="1" applyAlignment="1">
      <alignment horizontal="right"/>
    </xf>
    <xf numFmtId="0" fontId="1" fillId="0" borderId="0" xfId="0" applyFont="1" applyFill="1" applyAlignment="1">
      <alignment horizontal="right"/>
    </xf>
    <xf numFmtId="0" fontId="5" fillId="0" borderId="3" xfId="0" applyFont="1" applyFill="1" applyBorder="1" applyAlignment="1">
      <alignment horizontal="left" vertical="center" wrapText="1"/>
    </xf>
    <xf numFmtId="49" fontId="6" fillId="0" borderId="0" xfId="0" applyNumberFormat="1" applyFont="1" applyFill="1" applyAlignment="1">
      <alignment horizontal="left"/>
    </xf>
    <xf numFmtId="49" fontId="6" fillId="0" borderId="0" xfId="0" applyNumberFormat="1" applyFont="1" applyFill="1"/>
    <xf numFmtId="49" fontId="6" fillId="0" borderId="0" xfId="0" applyNumberFormat="1" applyFont="1" applyFill="1" applyAlignment="1">
      <alignment wrapText="1"/>
    </xf>
    <xf numFmtId="14" fontId="6" fillId="0" borderId="0" xfId="0" applyNumberFormat="1" applyFont="1" applyFill="1"/>
    <xf numFmtId="49" fontId="6" fillId="0" borderId="0" xfId="0" quotePrefix="1" applyNumberFormat="1" applyFont="1" applyFill="1" applyAlignment="1">
      <alignment horizontal="left"/>
    </xf>
    <xf numFmtId="164" fontId="1" fillId="0" borderId="0" xfId="0" applyNumberFormat="1" applyFont="1" applyFill="1" applyAlignment="1" applyProtection="1">
      <alignment horizontal="left"/>
      <protection locked="0"/>
    </xf>
    <xf numFmtId="49" fontId="1" fillId="0" borderId="0" xfId="0" applyNumberFormat="1" applyFont="1" applyFill="1" applyAlignment="1" applyProtection="1">
      <alignment horizontal="left"/>
      <protection locked="0"/>
    </xf>
    <xf numFmtId="49" fontId="1" fillId="0" borderId="0" xfId="0" quotePrefix="1" applyNumberFormat="1" applyFont="1" applyFill="1" applyAlignment="1" applyProtection="1">
      <alignment horizontal="right" wrapText="1"/>
      <protection locked="0"/>
    </xf>
    <xf numFmtId="2" fontId="1" fillId="0" borderId="0" xfId="0" applyNumberFormat="1" applyFont="1" applyFill="1" applyAlignment="1" applyProtection="1">
      <alignment horizontal="right"/>
      <protection locked="0"/>
    </xf>
    <xf numFmtId="0" fontId="1" fillId="0" borderId="0" xfId="0" applyFont="1" applyFill="1" applyAlignment="1" applyProtection="1">
      <alignment horizontal="right"/>
      <protection locked="0"/>
    </xf>
    <xf numFmtId="49" fontId="1" fillId="0" borderId="2" xfId="0" applyNumberFormat="1" applyFont="1" applyFill="1" applyBorder="1" applyAlignment="1" applyProtection="1">
      <alignment horizontal="right" wrapText="1"/>
      <protection locked="0"/>
    </xf>
    <xf numFmtId="0" fontId="1" fillId="0" borderId="2" xfId="0" applyFont="1" applyFill="1" applyBorder="1" applyAlignment="1" applyProtection="1">
      <alignment wrapText="1"/>
      <protection locked="0"/>
    </xf>
    <xf numFmtId="49" fontId="1" fillId="0" borderId="0" xfId="0" applyNumberFormat="1" applyFont="1" applyFill="1" applyAlignment="1" applyProtection="1">
      <alignment horizontal="right" vertical="top" wrapText="1"/>
      <protection locked="0"/>
    </xf>
    <xf numFmtId="0" fontId="1" fillId="0" borderId="0" xfId="0" applyFont="1" applyFill="1" applyAlignment="1" applyProtection="1">
      <alignment vertical="top" wrapText="1"/>
      <protection locked="0"/>
    </xf>
    <xf numFmtId="165" fontId="1" fillId="0" borderId="0" xfId="0" applyNumberFormat="1" applyFont="1" applyFill="1" applyAlignment="1" applyProtection="1">
      <alignment horizontal="right"/>
      <protection locked="0"/>
    </xf>
    <xf numFmtId="49" fontId="1" fillId="0" borderId="2" xfId="0" applyNumberFormat="1" applyFont="1" applyFill="1" applyBorder="1" applyAlignment="1" applyProtection="1">
      <alignment wrapText="1"/>
      <protection locked="0"/>
    </xf>
    <xf numFmtId="49" fontId="1" fillId="0" borderId="0" xfId="0" applyNumberFormat="1" applyFont="1" applyFill="1" applyAlignment="1" applyProtection="1">
      <alignment horizontal="left" wrapText="1"/>
      <protection locked="0"/>
    </xf>
    <xf numFmtId="49" fontId="1" fillId="0" borderId="0" xfId="0" applyNumberFormat="1" applyFont="1" applyFill="1" applyAlignment="1" applyProtection="1">
      <alignment vertical="center" wrapText="1"/>
      <protection locked="0"/>
    </xf>
    <xf numFmtId="49" fontId="1" fillId="0" borderId="0" xfId="0" quotePrefix="1" applyNumberFormat="1" applyFont="1" applyFill="1" applyAlignment="1" applyProtection="1">
      <alignment horizontal="right"/>
      <protection locked="0"/>
    </xf>
    <xf numFmtId="0" fontId="7" fillId="0" borderId="0" xfId="0" applyFont="1" applyFill="1" applyAlignment="1">
      <alignment wrapText="1"/>
    </xf>
    <xf numFmtId="0" fontId="7" fillId="0" borderId="0" xfId="0" applyFont="1" applyFill="1"/>
    <xf numFmtId="165" fontId="1" fillId="0" borderId="0" xfId="0" applyNumberFormat="1" applyFont="1" applyFill="1" applyAlignment="1">
      <alignment horizontal="right"/>
    </xf>
    <xf numFmtId="49" fontId="8" fillId="0" borderId="0" xfId="0" applyNumberFormat="1" applyFont="1" applyFill="1" applyAlignment="1">
      <alignment horizontal="left"/>
    </xf>
    <xf numFmtId="49" fontId="8" fillId="0" borderId="0" xfId="0" applyNumberFormat="1" applyFont="1" applyFill="1"/>
    <xf numFmtId="0" fontId="8" fillId="0" borderId="0" xfId="0" applyFont="1" applyFill="1" applyAlignment="1">
      <alignment wrapText="1"/>
    </xf>
    <xf numFmtId="3" fontId="1" fillId="0" borderId="2" xfId="0" applyNumberFormat="1" applyFont="1" applyFill="1" applyBorder="1"/>
    <xf numFmtId="167" fontId="1" fillId="0" borderId="2" xfId="0" applyNumberFormat="1" applyFont="1" applyFill="1" applyBorder="1"/>
    <xf numFmtId="0" fontId="8" fillId="0" borderId="0" xfId="0" applyFont="1" applyFill="1"/>
    <xf numFmtId="14" fontId="1" fillId="0" borderId="2" xfId="0" applyNumberFormat="1" applyFont="1" applyFill="1" applyBorder="1"/>
    <xf numFmtId="49" fontId="9" fillId="0" borderId="0" xfId="0" applyNumberFormat="1" applyFont="1" applyFill="1"/>
    <xf numFmtId="0" fontId="1" fillId="0" borderId="0" xfId="0" quotePrefix="1" applyFont="1" applyFill="1"/>
    <xf numFmtId="0" fontId="1" fillId="0" borderId="0" xfId="0" applyFont="1" applyFill="1" applyAlignment="1">
      <alignment horizontal="left" wrapText="1"/>
    </xf>
    <xf numFmtId="11" fontId="1" fillId="0" borderId="0" xfId="0" quotePrefix="1" applyNumberFormat="1" applyFont="1" applyFill="1"/>
    <xf numFmtId="0" fontId="1" fillId="0" borderId="4" xfId="0" applyFont="1" applyFill="1" applyBorder="1"/>
    <xf numFmtId="49" fontId="1" fillId="0" borderId="1" xfId="0" applyNumberFormat="1" applyFont="1" applyFill="1" applyBorder="1" applyAlignment="1">
      <alignment wrapText="1"/>
    </xf>
    <xf numFmtId="167" fontId="1" fillId="0" borderId="2" xfId="0" applyNumberFormat="1" applyFont="1" applyFill="1" applyBorder="1" applyAlignment="1">
      <alignment wrapText="1"/>
    </xf>
    <xf numFmtId="14" fontId="1" fillId="0" borderId="2" xfId="0" applyNumberFormat="1" applyFont="1" applyFill="1" applyBorder="1" applyAlignment="1">
      <alignment wrapText="1"/>
    </xf>
    <xf numFmtId="3" fontId="1" fillId="0" borderId="2" xfId="0" applyNumberFormat="1" applyFont="1" applyFill="1" applyBorder="1" applyAlignment="1">
      <alignment wrapText="1"/>
    </xf>
    <xf numFmtId="0" fontId="1" fillId="0" borderId="4" xfId="0" applyFont="1" applyFill="1" applyBorder="1" applyAlignment="1">
      <alignment wrapText="1"/>
    </xf>
    <xf numFmtId="0" fontId="1" fillId="0" borderId="0" xfId="0" quotePrefix="1" applyFont="1" applyFill="1" applyAlignment="1">
      <alignment horizontal="left"/>
    </xf>
    <xf numFmtId="0" fontId="6" fillId="0" borderId="0" xfId="0" applyFont="1" applyFill="1"/>
    <xf numFmtId="0" fontId="1" fillId="0" borderId="0" xfId="0" applyFont="1" applyFill="1" applyAlignment="1">
      <alignment horizontal="right" wrapText="1"/>
    </xf>
    <xf numFmtId="0" fontId="1" fillId="0" borderId="0" xfId="0" applyFont="1" applyFill="1" applyBorder="1" applyAlignment="1">
      <alignment wrapText="1"/>
    </xf>
    <xf numFmtId="166" fontId="1" fillId="2" borderId="0" xfId="0" applyNumberFormat="1" applyFont="1" applyFill="1" applyAlignment="1">
      <alignment wrapText="1"/>
    </xf>
  </cellXfs>
  <cellStyles count="2">
    <cellStyle name="Migliaia 2" xfId="1" xr:uid="{1B697314-993A-43CD-907B-1DBFD5B56FC4}"/>
    <cellStyle name="Normale" xfId="0" builtinId="0"/>
  </cellStyles>
  <dxfs count="0"/>
  <tableStyles count="0" defaultTableStyle="TableStyleMedium2" defaultPivotStyle="PivotStyleLight16"/>
  <colors>
    <mruColors>
      <color rgb="FF99FF66"/>
      <color rgb="FFCC66FF"/>
      <color rgb="FFFF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oneCellAnchor>
    <xdr:from>
      <xdr:col>11</xdr:col>
      <xdr:colOff>0</xdr:colOff>
      <xdr:row>459</xdr:row>
      <xdr:rowOff>0</xdr:rowOff>
    </xdr:from>
    <xdr:ext cx="152400" cy="152400"/>
    <xdr:pic>
      <xdr:nvPicPr>
        <xdr:cNvPr id="2" name="Immagine 1" descr="http://demaco.consob/ArchiflowWeb/images/indicator.gif">
          <a:extLst>
            <a:ext uri="{FF2B5EF4-FFF2-40B4-BE49-F238E27FC236}">
              <a16:creationId xmlns:a16="http://schemas.microsoft.com/office/drawing/2014/main" id="{8D76421D-6079-4E40-9E05-AACE9B553408}"/>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29527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459</xdr:row>
      <xdr:rowOff>0</xdr:rowOff>
    </xdr:from>
    <xdr:ext cx="152400" cy="152400"/>
    <xdr:pic>
      <xdr:nvPicPr>
        <xdr:cNvPr id="3" name="Immagine 2" descr="http://demaco.consob/ArchiflowWeb/images/indicator.gif">
          <a:extLst>
            <a:ext uri="{FF2B5EF4-FFF2-40B4-BE49-F238E27FC236}">
              <a16:creationId xmlns:a16="http://schemas.microsoft.com/office/drawing/2014/main" id="{3CFC25D7-0C67-4466-A480-363F515E8F69}"/>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29527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459</xdr:row>
      <xdr:rowOff>0</xdr:rowOff>
    </xdr:from>
    <xdr:ext cx="152400" cy="152400"/>
    <xdr:pic>
      <xdr:nvPicPr>
        <xdr:cNvPr id="4" name="Immagine 3" descr="http://demaco.consob/ArchiflowWeb/images/indicator.gif">
          <a:extLst>
            <a:ext uri="{FF2B5EF4-FFF2-40B4-BE49-F238E27FC236}">
              <a16:creationId xmlns:a16="http://schemas.microsoft.com/office/drawing/2014/main" id="{F65B2E50-96E9-4B30-874D-0B30E8EFC0D5}"/>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29527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459</xdr:row>
      <xdr:rowOff>0</xdr:rowOff>
    </xdr:from>
    <xdr:ext cx="152400" cy="152400"/>
    <xdr:pic>
      <xdr:nvPicPr>
        <xdr:cNvPr id="5" name="Immagine 4" descr="http://demaco.consob/ArchiflowWeb/images/indicator.gif">
          <a:extLst>
            <a:ext uri="{FF2B5EF4-FFF2-40B4-BE49-F238E27FC236}">
              <a16:creationId xmlns:a16="http://schemas.microsoft.com/office/drawing/2014/main" id="{CC77D811-8E61-47E0-94B8-3F4505FB3E62}"/>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29527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459</xdr:row>
      <xdr:rowOff>0</xdr:rowOff>
    </xdr:from>
    <xdr:ext cx="152400" cy="152400"/>
    <xdr:pic>
      <xdr:nvPicPr>
        <xdr:cNvPr id="6" name="Immagine 5" descr="http://demaco.consob/ArchiflowWeb/images/indicator.gif">
          <a:extLst>
            <a:ext uri="{FF2B5EF4-FFF2-40B4-BE49-F238E27FC236}">
              <a16:creationId xmlns:a16="http://schemas.microsoft.com/office/drawing/2014/main" id="{A44727F2-9428-48CE-B79F-03DC13DB29AA}"/>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29527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459</xdr:row>
      <xdr:rowOff>0</xdr:rowOff>
    </xdr:from>
    <xdr:ext cx="152400" cy="152400"/>
    <xdr:pic>
      <xdr:nvPicPr>
        <xdr:cNvPr id="7" name="Immagine 6" descr="http://demaco.consob/ArchiflowWeb/images/indicator.gif">
          <a:extLst>
            <a:ext uri="{FF2B5EF4-FFF2-40B4-BE49-F238E27FC236}">
              <a16:creationId xmlns:a16="http://schemas.microsoft.com/office/drawing/2014/main" id="{F48E5800-3392-479A-BDB9-80468AAC429C}"/>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29527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459</xdr:row>
      <xdr:rowOff>0</xdr:rowOff>
    </xdr:from>
    <xdr:ext cx="152400" cy="152400"/>
    <xdr:pic>
      <xdr:nvPicPr>
        <xdr:cNvPr id="8" name="Immagine 7" descr="http://demaco.consob/ArchiflowWeb/images/indicator.gif">
          <a:extLst>
            <a:ext uri="{FF2B5EF4-FFF2-40B4-BE49-F238E27FC236}">
              <a16:creationId xmlns:a16="http://schemas.microsoft.com/office/drawing/2014/main" id="{4EC3FC3E-0689-4916-B03A-B4BD23856283}"/>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29527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459</xdr:row>
      <xdr:rowOff>0</xdr:rowOff>
    </xdr:from>
    <xdr:ext cx="152400" cy="152400"/>
    <xdr:pic>
      <xdr:nvPicPr>
        <xdr:cNvPr id="9" name="Immagine 8" descr="http://demaco.consob/ArchiflowWeb/images/indicator.gif">
          <a:extLst>
            <a:ext uri="{FF2B5EF4-FFF2-40B4-BE49-F238E27FC236}">
              <a16:creationId xmlns:a16="http://schemas.microsoft.com/office/drawing/2014/main" id="{17309EE5-005A-4F8F-B8E8-9336ACD22487}"/>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29527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459</xdr:row>
      <xdr:rowOff>0</xdr:rowOff>
    </xdr:from>
    <xdr:ext cx="152400" cy="152400"/>
    <xdr:pic>
      <xdr:nvPicPr>
        <xdr:cNvPr id="10" name="Immagine 9" descr="http://demaco.consob/ArchiflowWeb/images/indicator.gif">
          <a:extLst>
            <a:ext uri="{FF2B5EF4-FFF2-40B4-BE49-F238E27FC236}">
              <a16:creationId xmlns:a16="http://schemas.microsoft.com/office/drawing/2014/main" id="{43B51AE7-45B0-410F-B03F-449804FAE1D9}"/>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29527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459</xdr:row>
      <xdr:rowOff>0</xdr:rowOff>
    </xdr:from>
    <xdr:ext cx="152400" cy="152400"/>
    <xdr:pic>
      <xdr:nvPicPr>
        <xdr:cNvPr id="11" name="Immagine 10" descr="http://demaco.consob/ArchiflowWeb/images/indicator.gif">
          <a:extLst>
            <a:ext uri="{FF2B5EF4-FFF2-40B4-BE49-F238E27FC236}">
              <a16:creationId xmlns:a16="http://schemas.microsoft.com/office/drawing/2014/main" id="{85ADC44F-B6E9-4816-A17D-80740FFFDA0F}"/>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29527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459</xdr:row>
      <xdr:rowOff>0</xdr:rowOff>
    </xdr:from>
    <xdr:ext cx="152400" cy="152400"/>
    <xdr:pic>
      <xdr:nvPicPr>
        <xdr:cNvPr id="12" name="Immagine 11" descr="http://demaco.consob/ArchiflowWeb/images/indicator.gif">
          <a:extLst>
            <a:ext uri="{FF2B5EF4-FFF2-40B4-BE49-F238E27FC236}">
              <a16:creationId xmlns:a16="http://schemas.microsoft.com/office/drawing/2014/main" id="{53C409B2-8A2C-4691-B5EF-F77B0B892E3C}"/>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29527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459</xdr:row>
      <xdr:rowOff>0</xdr:rowOff>
    </xdr:from>
    <xdr:ext cx="152400" cy="152400"/>
    <xdr:pic>
      <xdr:nvPicPr>
        <xdr:cNvPr id="13" name="Immagine 12" descr="http://demaco.consob/ArchiflowWeb/images/indicator.gif">
          <a:extLst>
            <a:ext uri="{FF2B5EF4-FFF2-40B4-BE49-F238E27FC236}">
              <a16:creationId xmlns:a16="http://schemas.microsoft.com/office/drawing/2014/main" id="{60ACCD0A-0A13-41D1-A9C7-E3521C19DE08}"/>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29527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459</xdr:row>
      <xdr:rowOff>0</xdr:rowOff>
    </xdr:from>
    <xdr:ext cx="152400" cy="152400"/>
    <xdr:pic>
      <xdr:nvPicPr>
        <xdr:cNvPr id="14" name="Immagine 13" descr="http://demaco.consob/ArchiflowWeb/images/indicator.gif">
          <a:extLst>
            <a:ext uri="{FF2B5EF4-FFF2-40B4-BE49-F238E27FC236}">
              <a16:creationId xmlns:a16="http://schemas.microsoft.com/office/drawing/2014/main" id="{7BD531C1-BF4E-4005-9A05-F02552E997CA}"/>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29527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459</xdr:row>
      <xdr:rowOff>0</xdr:rowOff>
    </xdr:from>
    <xdr:ext cx="152400" cy="152400"/>
    <xdr:pic>
      <xdr:nvPicPr>
        <xdr:cNvPr id="15" name="Immagine 14" descr="http://demaco.consob/ArchiflowWeb/images/indicator.gif">
          <a:extLst>
            <a:ext uri="{FF2B5EF4-FFF2-40B4-BE49-F238E27FC236}">
              <a16:creationId xmlns:a16="http://schemas.microsoft.com/office/drawing/2014/main" id="{2C3C54B9-3BDB-47A1-AFB8-EA71B95E2453}"/>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29527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459</xdr:row>
      <xdr:rowOff>0</xdr:rowOff>
    </xdr:from>
    <xdr:ext cx="152400" cy="152400"/>
    <xdr:pic>
      <xdr:nvPicPr>
        <xdr:cNvPr id="16" name="Immagine 15" descr="http://demaco.consob/ArchiflowWeb/images/indicator.gif">
          <a:extLst>
            <a:ext uri="{FF2B5EF4-FFF2-40B4-BE49-F238E27FC236}">
              <a16:creationId xmlns:a16="http://schemas.microsoft.com/office/drawing/2014/main" id="{460EDA5F-F55F-405C-9F38-7B571C3D9D23}"/>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29527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459</xdr:row>
      <xdr:rowOff>0</xdr:rowOff>
    </xdr:from>
    <xdr:ext cx="152400" cy="152400"/>
    <xdr:pic>
      <xdr:nvPicPr>
        <xdr:cNvPr id="17" name="Immagine 16" descr="http://demaco.consob/ArchiflowWeb/images/indicator.gif">
          <a:extLst>
            <a:ext uri="{FF2B5EF4-FFF2-40B4-BE49-F238E27FC236}">
              <a16:creationId xmlns:a16="http://schemas.microsoft.com/office/drawing/2014/main" id="{C231D318-8205-430F-B45B-E5A420D3EDC9}"/>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29527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459</xdr:row>
      <xdr:rowOff>0</xdr:rowOff>
    </xdr:from>
    <xdr:ext cx="152400" cy="152400"/>
    <xdr:pic>
      <xdr:nvPicPr>
        <xdr:cNvPr id="18" name="Immagine 17" descr="http://demaco.consob/ArchiflowWeb/images/indicator.gif">
          <a:extLst>
            <a:ext uri="{FF2B5EF4-FFF2-40B4-BE49-F238E27FC236}">
              <a16:creationId xmlns:a16="http://schemas.microsoft.com/office/drawing/2014/main" id="{860712F7-77C8-4C3F-B1E9-735C11E2468D}"/>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29527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459</xdr:row>
      <xdr:rowOff>0</xdr:rowOff>
    </xdr:from>
    <xdr:ext cx="152400" cy="152400"/>
    <xdr:pic>
      <xdr:nvPicPr>
        <xdr:cNvPr id="19" name="Immagine 18" descr="http://demaco.consob/ArchiflowWeb/images/indicator.gif">
          <a:extLst>
            <a:ext uri="{FF2B5EF4-FFF2-40B4-BE49-F238E27FC236}">
              <a16:creationId xmlns:a16="http://schemas.microsoft.com/office/drawing/2014/main" id="{6767DC64-D504-409C-B4BA-7BD48FC0DE47}"/>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29527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459</xdr:row>
      <xdr:rowOff>0</xdr:rowOff>
    </xdr:from>
    <xdr:ext cx="152400" cy="152400"/>
    <xdr:pic>
      <xdr:nvPicPr>
        <xdr:cNvPr id="20" name="Immagine 19" descr="http://demaco.consob/ArchiflowWeb/images/indicator.gif">
          <a:extLst>
            <a:ext uri="{FF2B5EF4-FFF2-40B4-BE49-F238E27FC236}">
              <a16:creationId xmlns:a16="http://schemas.microsoft.com/office/drawing/2014/main" id="{230A2352-830F-446A-9A56-FFAFE935B149}"/>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29527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459</xdr:row>
      <xdr:rowOff>0</xdr:rowOff>
    </xdr:from>
    <xdr:ext cx="152400" cy="152400"/>
    <xdr:pic>
      <xdr:nvPicPr>
        <xdr:cNvPr id="21" name="Immagine 20" descr="http://demaco.consob/ArchiflowWeb/images/indicator.gif">
          <a:extLst>
            <a:ext uri="{FF2B5EF4-FFF2-40B4-BE49-F238E27FC236}">
              <a16:creationId xmlns:a16="http://schemas.microsoft.com/office/drawing/2014/main" id="{10140749-774D-4A34-B9A7-2A270DC0D12D}"/>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29527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459</xdr:row>
      <xdr:rowOff>0</xdr:rowOff>
    </xdr:from>
    <xdr:ext cx="152400" cy="152400"/>
    <xdr:pic>
      <xdr:nvPicPr>
        <xdr:cNvPr id="22" name="Immagine 21" descr="http://demaco.consob/ArchiflowWeb/images/indicator.gif">
          <a:extLst>
            <a:ext uri="{FF2B5EF4-FFF2-40B4-BE49-F238E27FC236}">
              <a16:creationId xmlns:a16="http://schemas.microsoft.com/office/drawing/2014/main" id="{73326C8C-F525-44C7-9F6F-A8316F95EA26}"/>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29527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459</xdr:row>
      <xdr:rowOff>0</xdr:rowOff>
    </xdr:from>
    <xdr:ext cx="152400" cy="152400"/>
    <xdr:pic>
      <xdr:nvPicPr>
        <xdr:cNvPr id="23" name="Immagine 22" descr="http://demaco.consob/ArchiflowWeb/images/indicator.gif">
          <a:extLst>
            <a:ext uri="{FF2B5EF4-FFF2-40B4-BE49-F238E27FC236}">
              <a16:creationId xmlns:a16="http://schemas.microsoft.com/office/drawing/2014/main" id="{D1BE179D-DE65-4AEA-8C08-02A2D996F822}"/>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36957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459</xdr:row>
      <xdr:rowOff>0</xdr:rowOff>
    </xdr:from>
    <xdr:ext cx="152400" cy="152400"/>
    <xdr:pic>
      <xdr:nvPicPr>
        <xdr:cNvPr id="24" name="Immagine 23" descr="http://demaco.consob/ArchiflowWeb/images/indicator.gif">
          <a:extLst>
            <a:ext uri="{FF2B5EF4-FFF2-40B4-BE49-F238E27FC236}">
              <a16:creationId xmlns:a16="http://schemas.microsoft.com/office/drawing/2014/main" id="{8BE72F69-F135-461B-B292-A5B9834BFB64}"/>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154900" y="29527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459</xdr:row>
      <xdr:rowOff>0</xdr:rowOff>
    </xdr:from>
    <xdr:ext cx="152400" cy="152400"/>
    <xdr:pic>
      <xdr:nvPicPr>
        <xdr:cNvPr id="25" name="Immagine 24" descr="http://demaco.consob/ArchiflowWeb/images/indicator.gif">
          <a:extLst>
            <a:ext uri="{FF2B5EF4-FFF2-40B4-BE49-F238E27FC236}">
              <a16:creationId xmlns:a16="http://schemas.microsoft.com/office/drawing/2014/main" id="{C40CCD2F-E308-4DBB-85EA-4F5032786A1C}"/>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154900" y="29527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459</xdr:row>
      <xdr:rowOff>0</xdr:rowOff>
    </xdr:from>
    <xdr:ext cx="152400" cy="152400"/>
    <xdr:pic>
      <xdr:nvPicPr>
        <xdr:cNvPr id="26" name="Immagine 25" descr="http://demaco.consob/ArchiflowWeb/images/indicator.gif">
          <a:extLst>
            <a:ext uri="{FF2B5EF4-FFF2-40B4-BE49-F238E27FC236}">
              <a16:creationId xmlns:a16="http://schemas.microsoft.com/office/drawing/2014/main" id="{C9548EB7-EAB8-4FF0-9155-A3D38938A30E}"/>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154900" y="29527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459</xdr:row>
      <xdr:rowOff>0</xdr:rowOff>
    </xdr:from>
    <xdr:ext cx="152400" cy="152400"/>
    <xdr:pic>
      <xdr:nvPicPr>
        <xdr:cNvPr id="27" name="Immagine 26" descr="http://demaco.consob/ArchiflowWeb/images/indicator.gif">
          <a:extLst>
            <a:ext uri="{FF2B5EF4-FFF2-40B4-BE49-F238E27FC236}">
              <a16:creationId xmlns:a16="http://schemas.microsoft.com/office/drawing/2014/main" id="{362E2BBD-0E4D-48DD-8A23-5B0214A0C784}"/>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154900" y="29527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459</xdr:row>
      <xdr:rowOff>0</xdr:rowOff>
    </xdr:from>
    <xdr:ext cx="152400" cy="152400"/>
    <xdr:pic>
      <xdr:nvPicPr>
        <xdr:cNvPr id="28" name="Immagine 27" descr="http://demaco.consob/ArchiflowWeb/images/indicator.gif">
          <a:extLst>
            <a:ext uri="{FF2B5EF4-FFF2-40B4-BE49-F238E27FC236}">
              <a16:creationId xmlns:a16="http://schemas.microsoft.com/office/drawing/2014/main" id="{C58E089B-195A-4B95-A754-9B5E67C848BF}"/>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154900" y="29527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459</xdr:row>
      <xdr:rowOff>0</xdr:rowOff>
    </xdr:from>
    <xdr:ext cx="152400" cy="152400"/>
    <xdr:pic>
      <xdr:nvPicPr>
        <xdr:cNvPr id="29" name="Immagine 28" descr="http://demaco.consob/ArchiflowWeb/images/indicator.gif">
          <a:extLst>
            <a:ext uri="{FF2B5EF4-FFF2-40B4-BE49-F238E27FC236}">
              <a16:creationId xmlns:a16="http://schemas.microsoft.com/office/drawing/2014/main" id="{CBE84E3C-C4EF-4C37-8314-9F90175F389F}"/>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154900" y="29527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459</xdr:row>
      <xdr:rowOff>0</xdr:rowOff>
    </xdr:from>
    <xdr:ext cx="152400" cy="152400"/>
    <xdr:pic>
      <xdr:nvPicPr>
        <xdr:cNvPr id="30" name="Immagine 29" descr="http://demaco.consob/ArchiflowWeb/images/indicator.gif">
          <a:extLst>
            <a:ext uri="{FF2B5EF4-FFF2-40B4-BE49-F238E27FC236}">
              <a16:creationId xmlns:a16="http://schemas.microsoft.com/office/drawing/2014/main" id="{565E1D29-7925-4554-B3D9-3E67D22E672D}"/>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154900" y="29527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459</xdr:row>
      <xdr:rowOff>0</xdr:rowOff>
    </xdr:from>
    <xdr:ext cx="152400" cy="152400"/>
    <xdr:pic>
      <xdr:nvPicPr>
        <xdr:cNvPr id="31" name="Immagine 30" descr="http://demaco.consob/ArchiflowWeb/images/indicator.gif">
          <a:extLst>
            <a:ext uri="{FF2B5EF4-FFF2-40B4-BE49-F238E27FC236}">
              <a16:creationId xmlns:a16="http://schemas.microsoft.com/office/drawing/2014/main" id="{24BD7FEE-9E21-467E-B12F-C5AE8C8E33FE}"/>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154900" y="29527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459</xdr:row>
      <xdr:rowOff>0</xdr:rowOff>
    </xdr:from>
    <xdr:ext cx="152400" cy="152400"/>
    <xdr:pic>
      <xdr:nvPicPr>
        <xdr:cNvPr id="32" name="Immagine 31" descr="http://demaco.consob/ArchiflowWeb/images/indicator.gif">
          <a:extLst>
            <a:ext uri="{FF2B5EF4-FFF2-40B4-BE49-F238E27FC236}">
              <a16:creationId xmlns:a16="http://schemas.microsoft.com/office/drawing/2014/main" id="{79439EEC-E0AC-4B84-B408-11E3FF204E68}"/>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154900" y="29527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459</xdr:row>
      <xdr:rowOff>0</xdr:rowOff>
    </xdr:from>
    <xdr:ext cx="152400" cy="152400"/>
    <xdr:pic>
      <xdr:nvPicPr>
        <xdr:cNvPr id="33" name="Immagine 32" descr="http://demaco.consob/ArchiflowWeb/images/indicator.gif">
          <a:extLst>
            <a:ext uri="{FF2B5EF4-FFF2-40B4-BE49-F238E27FC236}">
              <a16:creationId xmlns:a16="http://schemas.microsoft.com/office/drawing/2014/main" id="{8F1B9437-09D8-42F7-A9B5-1A172BE66D9F}"/>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154900" y="29527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459</xdr:row>
      <xdr:rowOff>0</xdr:rowOff>
    </xdr:from>
    <xdr:ext cx="152400" cy="152400"/>
    <xdr:pic>
      <xdr:nvPicPr>
        <xdr:cNvPr id="34" name="Immagine 33" descr="http://demaco.consob/ArchiflowWeb/images/indicator.gif">
          <a:extLst>
            <a:ext uri="{FF2B5EF4-FFF2-40B4-BE49-F238E27FC236}">
              <a16:creationId xmlns:a16="http://schemas.microsoft.com/office/drawing/2014/main" id="{EA4B773F-675E-4729-B9BC-FB7FE62FCF8D}"/>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154900" y="29527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459</xdr:row>
      <xdr:rowOff>0</xdr:rowOff>
    </xdr:from>
    <xdr:ext cx="152400" cy="152400"/>
    <xdr:pic>
      <xdr:nvPicPr>
        <xdr:cNvPr id="35" name="Immagine 34" descr="http://demaco.consob/ArchiflowWeb/images/indicator.gif">
          <a:extLst>
            <a:ext uri="{FF2B5EF4-FFF2-40B4-BE49-F238E27FC236}">
              <a16:creationId xmlns:a16="http://schemas.microsoft.com/office/drawing/2014/main" id="{17D8610D-E4D5-402E-B5E8-DA31871CB657}"/>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154900" y="29527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459</xdr:row>
      <xdr:rowOff>0</xdr:rowOff>
    </xdr:from>
    <xdr:ext cx="152400" cy="152400"/>
    <xdr:pic>
      <xdr:nvPicPr>
        <xdr:cNvPr id="36" name="Immagine 35" descr="http://demaco.consob/ArchiflowWeb/images/indicator.gif">
          <a:extLst>
            <a:ext uri="{FF2B5EF4-FFF2-40B4-BE49-F238E27FC236}">
              <a16:creationId xmlns:a16="http://schemas.microsoft.com/office/drawing/2014/main" id="{FDA011F1-7A7A-47F7-9C08-E68B40804D79}"/>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154900" y="29527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459</xdr:row>
      <xdr:rowOff>0</xdr:rowOff>
    </xdr:from>
    <xdr:ext cx="152400" cy="152400"/>
    <xdr:pic>
      <xdr:nvPicPr>
        <xdr:cNvPr id="37" name="Immagine 36" descr="http://demaco.consob/ArchiflowWeb/images/indicator.gif">
          <a:extLst>
            <a:ext uri="{FF2B5EF4-FFF2-40B4-BE49-F238E27FC236}">
              <a16:creationId xmlns:a16="http://schemas.microsoft.com/office/drawing/2014/main" id="{3B8DA4CE-8CBD-48EA-B037-13E4EBA2AC0E}"/>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154900" y="29527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459</xdr:row>
      <xdr:rowOff>0</xdr:rowOff>
    </xdr:from>
    <xdr:ext cx="152400" cy="152400"/>
    <xdr:pic>
      <xdr:nvPicPr>
        <xdr:cNvPr id="38" name="Immagine 37" descr="http://demaco.consob/ArchiflowWeb/images/indicator.gif">
          <a:extLst>
            <a:ext uri="{FF2B5EF4-FFF2-40B4-BE49-F238E27FC236}">
              <a16:creationId xmlns:a16="http://schemas.microsoft.com/office/drawing/2014/main" id="{09FEC69A-8F18-45AB-92E7-4D848E32E59B}"/>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154900" y="29527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459</xdr:row>
      <xdr:rowOff>0</xdr:rowOff>
    </xdr:from>
    <xdr:ext cx="152400" cy="152400"/>
    <xdr:pic>
      <xdr:nvPicPr>
        <xdr:cNvPr id="39" name="Immagine 38" descr="http://demaco.consob/ArchiflowWeb/images/indicator.gif">
          <a:extLst>
            <a:ext uri="{FF2B5EF4-FFF2-40B4-BE49-F238E27FC236}">
              <a16:creationId xmlns:a16="http://schemas.microsoft.com/office/drawing/2014/main" id="{C3781D86-C2E0-4D89-8791-EF74DC480908}"/>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154900" y="29527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459</xdr:row>
      <xdr:rowOff>0</xdr:rowOff>
    </xdr:from>
    <xdr:ext cx="152400" cy="152400"/>
    <xdr:pic>
      <xdr:nvPicPr>
        <xdr:cNvPr id="40" name="Immagine 39" descr="http://demaco.consob/ArchiflowWeb/images/indicator.gif">
          <a:extLst>
            <a:ext uri="{FF2B5EF4-FFF2-40B4-BE49-F238E27FC236}">
              <a16:creationId xmlns:a16="http://schemas.microsoft.com/office/drawing/2014/main" id="{8D8DEE3C-FAF0-4D61-8A72-F664ACC647C7}"/>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154900" y="29527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459</xdr:row>
      <xdr:rowOff>0</xdr:rowOff>
    </xdr:from>
    <xdr:ext cx="152400" cy="152400"/>
    <xdr:pic>
      <xdr:nvPicPr>
        <xdr:cNvPr id="41" name="Immagine 40" descr="http://demaco.consob/ArchiflowWeb/images/indicator.gif">
          <a:extLst>
            <a:ext uri="{FF2B5EF4-FFF2-40B4-BE49-F238E27FC236}">
              <a16:creationId xmlns:a16="http://schemas.microsoft.com/office/drawing/2014/main" id="{08212955-AD07-4D6F-A4CB-C6A5BF7BEA04}"/>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154900" y="29527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459</xdr:row>
      <xdr:rowOff>0</xdr:rowOff>
    </xdr:from>
    <xdr:ext cx="152400" cy="152400"/>
    <xdr:pic>
      <xdr:nvPicPr>
        <xdr:cNvPr id="42" name="Immagine 41" descr="http://demaco.consob/ArchiflowWeb/images/indicator.gif">
          <a:extLst>
            <a:ext uri="{FF2B5EF4-FFF2-40B4-BE49-F238E27FC236}">
              <a16:creationId xmlns:a16="http://schemas.microsoft.com/office/drawing/2014/main" id="{9F18BE7B-9C34-48D8-8217-DF5F421865D3}"/>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154900" y="29527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459</xdr:row>
      <xdr:rowOff>0</xdr:rowOff>
    </xdr:from>
    <xdr:ext cx="152400" cy="152400"/>
    <xdr:pic>
      <xdr:nvPicPr>
        <xdr:cNvPr id="43" name="Immagine 42" descr="http://demaco.consob/ArchiflowWeb/images/indicator.gif">
          <a:extLst>
            <a:ext uri="{FF2B5EF4-FFF2-40B4-BE49-F238E27FC236}">
              <a16:creationId xmlns:a16="http://schemas.microsoft.com/office/drawing/2014/main" id="{77FFC83A-DE4F-480B-BDE8-5BA21C531314}"/>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154900" y="29527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459</xdr:row>
      <xdr:rowOff>0</xdr:rowOff>
    </xdr:from>
    <xdr:ext cx="152400" cy="152400"/>
    <xdr:pic>
      <xdr:nvPicPr>
        <xdr:cNvPr id="44" name="Immagine 43" descr="http://demaco.consob/ArchiflowWeb/images/indicator.gif">
          <a:extLst>
            <a:ext uri="{FF2B5EF4-FFF2-40B4-BE49-F238E27FC236}">
              <a16:creationId xmlns:a16="http://schemas.microsoft.com/office/drawing/2014/main" id="{230E072E-52FC-4708-8492-99F231A62931}"/>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154900" y="29527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459</xdr:row>
      <xdr:rowOff>0</xdr:rowOff>
    </xdr:from>
    <xdr:ext cx="152400" cy="152400"/>
    <xdr:pic>
      <xdr:nvPicPr>
        <xdr:cNvPr id="45" name="Immagine 44" descr="http://demaco.consob/ArchiflowWeb/images/indicator.gif">
          <a:extLst>
            <a:ext uri="{FF2B5EF4-FFF2-40B4-BE49-F238E27FC236}">
              <a16:creationId xmlns:a16="http://schemas.microsoft.com/office/drawing/2014/main" id="{AA313200-8EF0-42A5-BF32-6FC22907E0F9}"/>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154900" y="36957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46" name="Immagine 45" descr="http://demaco.consob/ArchiflowWeb/images/indicator.gif">
          <a:extLst>
            <a:ext uri="{FF2B5EF4-FFF2-40B4-BE49-F238E27FC236}">
              <a16:creationId xmlns:a16="http://schemas.microsoft.com/office/drawing/2014/main" id="{359E4CBF-FDE7-4500-813D-FD49F5CA3F18}"/>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468600" y="14382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47" name="Immagine 46" descr="http://demaco.consob/ArchiflowWeb/images/indicator.gif">
          <a:extLst>
            <a:ext uri="{FF2B5EF4-FFF2-40B4-BE49-F238E27FC236}">
              <a16:creationId xmlns:a16="http://schemas.microsoft.com/office/drawing/2014/main" id="{024CF1C9-D921-421F-ACB4-D479ECEBB631}"/>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468600" y="14382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48" name="Immagine 47" descr="http://demaco.consob/ArchiflowWeb/images/indicator.gif">
          <a:extLst>
            <a:ext uri="{FF2B5EF4-FFF2-40B4-BE49-F238E27FC236}">
              <a16:creationId xmlns:a16="http://schemas.microsoft.com/office/drawing/2014/main" id="{E34154C4-C2D4-4A99-A2AE-420E1CA4D2AF}"/>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468600" y="14382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49" name="Immagine 48" descr="http://demaco.consob/ArchiflowWeb/images/indicator.gif">
          <a:extLst>
            <a:ext uri="{FF2B5EF4-FFF2-40B4-BE49-F238E27FC236}">
              <a16:creationId xmlns:a16="http://schemas.microsoft.com/office/drawing/2014/main" id="{DD5F27F7-6639-4F5C-A691-755B91030D3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468600" y="14382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0" name="Immagine 49" descr="http://demaco.consob/ArchiflowWeb/images/indicator.gif">
          <a:extLst>
            <a:ext uri="{FF2B5EF4-FFF2-40B4-BE49-F238E27FC236}">
              <a16:creationId xmlns:a16="http://schemas.microsoft.com/office/drawing/2014/main" id="{73A56049-F7C9-4E1D-9B96-452684CA23CF}"/>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468600" y="14382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1" name="Immagine 50" descr="http://demaco.consob/ArchiflowWeb/images/indicator.gif">
          <a:extLst>
            <a:ext uri="{FF2B5EF4-FFF2-40B4-BE49-F238E27FC236}">
              <a16:creationId xmlns:a16="http://schemas.microsoft.com/office/drawing/2014/main" id="{E77D0B90-B308-4068-9ADB-20EB2AE066B8}"/>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468600" y="14382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2" name="Immagine 51" descr="http://demaco.consob/ArchiflowWeb/images/indicator.gif">
          <a:extLst>
            <a:ext uri="{FF2B5EF4-FFF2-40B4-BE49-F238E27FC236}">
              <a16:creationId xmlns:a16="http://schemas.microsoft.com/office/drawing/2014/main" id="{9159FA7D-DFB7-451A-8ECB-A4AA824C2084}"/>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468600" y="14382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3" name="Immagine 52" descr="http://demaco.consob/ArchiflowWeb/images/indicator.gif">
          <a:extLst>
            <a:ext uri="{FF2B5EF4-FFF2-40B4-BE49-F238E27FC236}">
              <a16:creationId xmlns:a16="http://schemas.microsoft.com/office/drawing/2014/main" id="{17B8F701-F5AF-49BA-99BA-F59C5D4131B2}"/>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468600" y="14382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4" name="Immagine 53" descr="http://demaco.consob/ArchiflowWeb/images/indicator.gif">
          <a:extLst>
            <a:ext uri="{FF2B5EF4-FFF2-40B4-BE49-F238E27FC236}">
              <a16:creationId xmlns:a16="http://schemas.microsoft.com/office/drawing/2014/main" id="{2BEDA2FA-3DF4-48FC-9677-6D8C58891A19}"/>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468600" y="14382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5" name="Immagine 54" descr="http://demaco.consob/ArchiflowWeb/images/indicator.gif">
          <a:extLst>
            <a:ext uri="{FF2B5EF4-FFF2-40B4-BE49-F238E27FC236}">
              <a16:creationId xmlns:a16="http://schemas.microsoft.com/office/drawing/2014/main" id="{5E428204-3606-4C39-ABC5-F7ECF0039147}"/>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468600" y="14382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6" name="Immagine 55" descr="http://demaco.consob/ArchiflowWeb/images/indicator.gif">
          <a:extLst>
            <a:ext uri="{FF2B5EF4-FFF2-40B4-BE49-F238E27FC236}">
              <a16:creationId xmlns:a16="http://schemas.microsoft.com/office/drawing/2014/main" id="{1A20318B-4C58-4E5F-9C8E-61309154CEC2}"/>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468600" y="14382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7" name="Immagine 56" descr="http://demaco.consob/ArchiflowWeb/images/indicator.gif">
          <a:extLst>
            <a:ext uri="{FF2B5EF4-FFF2-40B4-BE49-F238E27FC236}">
              <a16:creationId xmlns:a16="http://schemas.microsoft.com/office/drawing/2014/main" id="{F6DA6983-3862-4A36-8B2E-5999AA2F686B}"/>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468600" y="14382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8" name="Immagine 57" descr="http://demaco.consob/ArchiflowWeb/images/indicator.gif">
          <a:extLst>
            <a:ext uri="{FF2B5EF4-FFF2-40B4-BE49-F238E27FC236}">
              <a16:creationId xmlns:a16="http://schemas.microsoft.com/office/drawing/2014/main" id="{144A9A03-C94B-46DD-8BFC-684E858B27BB}"/>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468600" y="14382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59" name="Immagine 58" descr="http://demaco.consob/ArchiflowWeb/images/indicator.gif">
          <a:extLst>
            <a:ext uri="{FF2B5EF4-FFF2-40B4-BE49-F238E27FC236}">
              <a16:creationId xmlns:a16="http://schemas.microsoft.com/office/drawing/2014/main" id="{B5AA2BDF-558B-49F5-84FA-5E2A364D1A3A}"/>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468600" y="14382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60" name="Immagine 59" descr="http://demaco.consob/ArchiflowWeb/images/indicator.gif">
          <a:extLst>
            <a:ext uri="{FF2B5EF4-FFF2-40B4-BE49-F238E27FC236}">
              <a16:creationId xmlns:a16="http://schemas.microsoft.com/office/drawing/2014/main" id="{343121D1-472F-4BA0-96C4-F09506C9FFE6}"/>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468600" y="14382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61" name="Immagine 60" descr="http://demaco.consob/ArchiflowWeb/images/indicator.gif">
          <a:extLst>
            <a:ext uri="{FF2B5EF4-FFF2-40B4-BE49-F238E27FC236}">
              <a16:creationId xmlns:a16="http://schemas.microsoft.com/office/drawing/2014/main" id="{831CD4B7-5306-4AC4-8715-BBBC15DAD334}"/>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468600" y="14382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62" name="Immagine 61" descr="http://demaco.consob/ArchiflowWeb/images/indicator.gif">
          <a:extLst>
            <a:ext uri="{FF2B5EF4-FFF2-40B4-BE49-F238E27FC236}">
              <a16:creationId xmlns:a16="http://schemas.microsoft.com/office/drawing/2014/main" id="{8375D74B-0F2E-477E-92A9-B4BC9280B7D6}"/>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468600" y="14382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63" name="Immagine 62" descr="http://demaco.consob/ArchiflowWeb/images/indicator.gif">
          <a:extLst>
            <a:ext uri="{FF2B5EF4-FFF2-40B4-BE49-F238E27FC236}">
              <a16:creationId xmlns:a16="http://schemas.microsoft.com/office/drawing/2014/main" id="{ECDE7508-60B6-4810-A418-E09513728CD1}"/>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468600" y="14382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64" name="Immagine 63" descr="http://demaco.consob/ArchiflowWeb/images/indicator.gif">
          <a:extLst>
            <a:ext uri="{FF2B5EF4-FFF2-40B4-BE49-F238E27FC236}">
              <a16:creationId xmlns:a16="http://schemas.microsoft.com/office/drawing/2014/main" id="{B8F0BDEC-FAFB-43D6-84EB-310FFF9355A3}"/>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468600" y="14382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65" name="Immagine 64" descr="http://demaco.consob/ArchiflowWeb/images/indicator.gif">
          <a:extLst>
            <a:ext uri="{FF2B5EF4-FFF2-40B4-BE49-F238E27FC236}">
              <a16:creationId xmlns:a16="http://schemas.microsoft.com/office/drawing/2014/main" id="{DF041ADE-F1D5-4392-9663-7A5F9BDAFD7A}"/>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468600" y="14382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66" name="Immagine 65" descr="http://demaco.consob/ArchiflowWeb/images/indicator.gif">
          <a:extLst>
            <a:ext uri="{FF2B5EF4-FFF2-40B4-BE49-F238E27FC236}">
              <a16:creationId xmlns:a16="http://schemas.microsoft.com/office/drawing/2014/main" id="{AA92A22B-53DC-4110-9E87-11761E15F198}"/>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468600" y="14382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487</xdr:row>
      <xdr:rowOff>0</xdr:rowOff>
    </xdr:from>
    <xdr:ext cx="152400" cy="152400"/>
    <xdr:pic>
      <xdr:nvPicPr>
        <xdr:cNvPr id="67" name="Immagine 66" descr="http://demaco.consob/ArchiflowWeb/images/indicator.gif">
          <a:extLst>
            <a:ext uri="{FF2B5EF4-FFF2-40B4-BE49-F238E27FC236}">
              <a16:creationId xmlns:a16="http://schemas.microsoft.com/office/drawing/2014/main" id="{AF4EADE5-BF1B-43DC-87F7-DFA1EE7429D8}"/>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468600" y="14382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68" name="Immagine 67" descr="http://demaco.consob/ArchiflowWeb/images/indicator.gif">
          <a:extLst>
            <a:ext uri="{FF2B5EF4-FFF2-40B4-BE49-F238E27FC236}">
              <a16:creationId xmlns:a16="http://schemas.microsoft.com/office/drawing/2014/main" id="{857A489B-7B6D-461C-83DA-0DAF403BFA02}"/>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250900" y="14382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69" name="Immagine 68" descr="http://demaco.consob/ArchiflowWeb/images/indicator.gif">
          <a:extLst>
            <a:ext uri="{FF2B5EF4-FFF2-40B4-BE49-F238E27FC236}">
              <a16:creationId xmlns:a16="http://schemas.microsoft.com/office/drawing/2014/main" id="{220D78DA-BAAB-47DB-9DAB-3DF0F197460B}"/>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250900" y="14382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70" name="Immagine 69" descr="http://demaco.consob/ArchiflowWeb/images/indicator.gif">
          <a:extLst>
            <a:ext uri="{FF2B5EF4-FFF2-40B4-BE49-F238E27FC236}">
              <a16:creationId xmlns:a16="http://schemas.microsoft.com/office/drawing/2014/main" id="{0DCD09A9-0527-490E-A2DB-024E025E5F96}"/>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250900" y="14382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71" name="Immagine 70" descr="http://demaco.consob/ArchiflowWeb/images/indicator.gif">
          <a:extLst>
            <a:ext uri="{FF2B5EF4-FFF2-40B4-BE49-F238E27FC236}">
              <a16:creationId xmlns:a16="http://schemas.microsoft.com/office/drawing/2014/main" id="{4EEB754B-847E-4DEE-99A6-90AC184DACB2}"/>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250900" y="14382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72" name="Immagine 71" descr="http://demaco.consob/ArchiflowWeb/images/indicator.gif">
          <a:extLst>
            <a:ext uri="{FF2B5EF4-FFF2-40B4-BE49-F238E27FC236}">
              <a16:creationId xmlns:a16="http://schemas.microsoft.com/office/drawing/2014/main" id="{2A76D8DB-E874-421A-8A0A-13081433A846}"/>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250900" y="14382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73" name="Immagine 72" descr="http://demaco.consob/ArchiflowWeb/images/indicator.gif">
          <a:extLst>
            <a:ext uri="{FF2B5EF4-FFF2-40B4-BE49-F238E27FC236}">
              <a16:creationId xmlns:a16="http://schemas.microsoft.com/office/drawing/2014/main" id="{3E015483-BF84-4A0D-9557-D67D7C0D687C}"/>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250900" y="14382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74" name="Immagine 73" descr="http://demaco.consob/ArchiflowWeb/images/indicator.gif">
          <a:extLst>
            <a:ext uri="{FF2B5EF4-FFF2-40B4-BE49-F238E27FC236}">
              <a16:creationId xmlns:a16="http://schemas.microsoft.com/office/drawing/2014/main" id="{CC5BFD6B-2405-4A5B-845C-C964FD7B0F4F}"/>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250900" y="14382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75" name="Immagine 74" descr="http://demaco.consob/ArchiflowWeb/images/indicator.gif">
          <a:extLst>
            <a:ext uri="{FF2B5EF4-FFF2-40B4-BE49-F238E27FC236}">
              <a16:creationId xmlns:a16="http://schemas.microsoft.com/office/drawing/2014/main" id="{FF0AB6D8-812B-4856-8EC2-DCB59F53EE88}"/>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250900" y="14382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76" name="Immagine 75" descr="http://demaco.consob/ArchiflowWeb/images/indicator.gif">
          <a:extLst>
            <a:ext uri="{FF2B5EF4-FFF2-40B4-BE49-F238E27FC236}">
              <a16:creationId xmlns:a16="http://schemas.microsoft.com/office/drawing/2014/main" id="{D17F2F8D-D045-480B-AEEA-34F9FA2F288A}"/>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250900" y="14382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77" name="Immagine 76" descr="http://demaco.consob/ArchiflowWeb/images/indicator.gif">
          <a:extLst>
            <a:ext uri="{FF2B5EF4-FFF2-40B4-BE49-F238E27FC236}">
              <a16:creationId xmlns:a16="http://schemas.microsoft.com/office/drawing/2014/main" id="{F5C5E34F-309E-44CC-AAF6-2B5C5ECC3991}"/>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250900" y="14382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78" name="Immagine 77" descr="http://demaco.consob/ArchiflowWeb/images/indicator.gif">
          <a:extLst>
            <a:ext uri="{FF2B5EF4-FFF2-40B4-BE49-F238E27FC236}">
              <a16:creationId xmlns:a16="http://schemas.microsoft.com/office/drawing/2014/main" id="{609A8AEC-46D4-4207-9EC0-25DD2183E9CE}"/>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250900" y="14382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79" name="Immagine 78" descr="http://demaco.consob/ArchiflowWeb/images/indicator.gif">
          <a:extLst>
            <a:ext uri="{FF2B5EF4-FFF2-40B4-BE49-F238E27FC236}">
              <a16:creationId xmlns:a16="http://schemas.microsoft.com/office/drawing/2014/main" id="{D2F1DCAD-DEA4-4CB5-B719-013D4B0DCED3}"/>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250900" y="14382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80" name="Immagine 79" descr="http://demaco.consob/ArchiflowWeb/images/indicator.gif">
          <a:extLst>
            <a:ext uri="{FF2B5EF4-FFF2-40B4-BE49-F238E27FC236}">
              <a16:creationId xmlns:a16="http://schemas.microsoft.com/office/drawing/2014/main" id="{B8CA9C9F-E380-4DFF-AC6A-03C89698D4AA}"/>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250900" y="14382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81" name="Immagine 80" descr="http://demaco.consob/ArchiflowWeb/images/indicator.gif">
          <a:extLst>
            <a:ext uri="{FF2B5EF4-FFF2-40B4-BE49-F238E27FC236}">
              <a16:creationId xmlns:a16="http://schemas.microsoft.com/office/drawing/2014/main" id="{64932606-81D1-4E96-B6CC-4223E47E633B}"/>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250900" y="14382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82" name="Immagine 81" descr="http://demaco.consob/ArchiflowWeb/images/indicator.gif">
          <a:extLst>
            <a:ext uri="{FF2B5EF4-FFF2-40B4-BE49-F238E27FC236}">
              <a16:creationId xmlns:a16="http://schemas.microsoft.com/office/drawing/2014/main" id="{8FC37E9C-7AE0-490A-91AF-4EEE134BC71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250900" y="14382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83" name="Immagine 82" descr="http://demaco.consob/ArchiflowWeb/images/indicator.gif">
          <a:extLst>
            <a:ext uri="{FF2B5EF4-FFF2-40B4-BE49-F238E27FC236}">
              <a16:creationId xmlns:a16="http://schemas.microsoft.com/office/drawing/2014/main" id="{E1D06A22-EAFF-48ED-9C69-5DEDDC5C8CF3}"/>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250900" y="14382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84" name="Immagine 83" descr="http://demaco.consob/ArchiflowWeb/images/indicator.gif">
          <a:extLst>
            <a:ext uri="{FF2B5EF4-FFF2-40B4-BE49-F238E27FC236}">
              <a16:creationId xmlns:a16="http://schemas.microsoft.com/office/drawing/2014/main" id="{F4589D30-9489-4066-921C-857A0F3C75DF}"/>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250900" y="14382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85" name="Immagine 84" descr="http://demaco.consob/ArchiflowWeb/images/indicator.gif">
          <a:extLst>
            <a:ext uri="{FF2B5EF4-FFF2-40B4-BE49-F238E27FC236}">
              <a16:creationId xmlns:a16="http://schemas.microsoft.com/office/drawing/2014/main" id="{3B4A1913-29D9-4C47-B0BB-CD727F273687}"/>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250900" y="14382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86" name="Immagine 85" descr="http://demaco.consob/ArchiflowWeb/images/indicator.gif">
          <a:extLst>
            <a:ext uri="{FF2B5EF4-FFF2-40B4-BE49-F238E27FC236}">
              <a16:creationId xmlns:a16="http://schemas.microsoft.com/office/drawing/2014/main" id="{A5A75443-88A6-4244-8473-A9A4EC82E375}"/>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250900" y="14382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87" name="Immagine 86" descr="http://demaco.consob/ArchiflowWeb/images/indicator.gif">
          <a:extLst>
            <a:ext uri="{FF2B5EF4-FFF2-40B4-BE49-F238E27FC236}">
              <a16:creationId xmlns:a16="http://schemas.microsoft.com/office/drawing/2014/main" id="{55DF21F6-BE54-4473-A810-876B21D53C0A}"/>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250900" y="14382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88" name="Immagine 87" descr="http://demaco.consob/ArchiflowWeb/images/indicator.gif">
          <a:extLst>
            <a:ext uri="{FF2B5EF4-FFF2-40B4-BE49-F238E27FC236}">
              <a16:creationId xmlns:a16="http://schemas.microsoft.com/office/drawing/2014/main" id="{D4C8EE3D-BF43-46C4-A053-7F449DD0A5AE}"/>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250900" y="14382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487</xdr:row>
      <xdr:rowOff>0</xdr:rowOff>
    </xdr:from>
    <xdr:ext cx="152400" cy="152400"/>
    <xdr:pic>
      <xdr:nvPicPr>
        <xdr:cNvPr id="89" name="Immagine 88" descr="http://demaco.consob/ArchiflowWeb/images/indicator.gif">
          <a:extLst>
            <a:ext uri="{FF2B5EF4-FFF2-40B4-BE49-F238E27FC236}">
              <a16:creationId xmlns:a16="http://schemas.microsoft.com/office/drawing/2014/main" id="{1BC6C63D-455E-41DB-BBBF-320D1284750B}"/>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250900" y="14382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529</xdr:row>
      <xdr:rowOff>0</xdr:rowOff>
    </xdr:from>
    <xdr:ext cx="152400" cy="152400"/>
    <xdr:pic>
      <xdr:nvPicPr>
        <xdr:cNvPr id="90" name="Immagine 89" descr="http://demaco.consob/ArchiflowWeb/images/indicator.gif">
          <a:extLst>
            <a:ext uri="{FF2B5EF4-FFF2-40B4-BE49-F238E27FC236}">
              <a16:creationId xmlns:a16="http://schemas.microsoft.com/office/drawing/2014/main" id="{DFBAFB1C-EE6D-4FDE-A2DF-A1BEE149A05B}"/>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468600" y="14382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529</xdr:row>
      <xdr:rowOff>0</xdr:rowOff>
    </xdr:from>
    <xdr:ext cx="152400" cy="152400"/>
    <xdr:pic>
      <xdr:nvPicPr>
        <xdr:cNvPr id="91" name="Immagine 90" descr="http://demaco.consob/ArchiflowWeb/images/indicator.gif">
          <a:extLst>
            <a:ext uri="{FF2B5EF4-FFF2-40B4-BE49-F238E27FC236}">
              <a16:creationId xmlns:a16="http://schemas.microsoft.com/office/drawing/2014/main" id="{340DCF7E-FFA4-4C57-AB0E-7D935DA7091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468600" y="14382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529</xdr:row>
      <xdr:rowOff>0</xdr:rowOff>
    </xdr:from>
    <xdr:ext cx="152400" cy="152400"/>
    <xdr:pic>
      <xdr:nvPicPr>
        <xdr:cNvPr id="92" name="Immagine 91" descr="http://demaco.consob/ArchiflowWeb/images/indicator.gif">
          <a:extLst>
            <a:ext uri="{FF2B5EF4-FFF2-40B4-BE49-F238E27FC236}">
              <a16:creationId xmlns:a16="http://schemas.microsoft.com/office/drawing/2014/main" id="{5F6BE8E8-41BB-4352-9913-1C06B08D74A1}"/>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468600" y="14382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529</xdr:row>
      <xdr:rowOff>0</xdr:rowOff>
    </xdr:from>
    <xdr:ext cx="152400" cy="152400"/>
    <xdr:pic>
      <xdr:nvPicPr>
        <xdr:cNvPr id="93" name="Immagine 92" descr="http://demaco.consob/ArchiflowWeb/images/indicator.gif">
          <a:extLst>
            <a:ext uri="{FF2B5EF4-FFF2-40B4-BE49-F238E27FC236}">
              <a16:creationId xmlns:a16="http://schemas.microsoft.com/office/drawing/2014/main" id="{62966ACE-74F3-4006-95A4-35F7F0F3D419}"/>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468600" y="14382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529</xdr:row>
      <xdr:rowOff>0</xdr:rowOff>
    </xdr:from>
    <xdr:ext cx="152400" cy="152400"/>
    <xdr:pic>
      <xdr:nvPicPr>
        <xdr:cNvPr id="94" name="Immagine 93" descr="http://demaco.consob/ArchiflowWeb/images/indicator.gif">
          <a:extLst>
            <a:ext uri="{FF2B5EF4-FFF2-40B4-BE49-F238E27FC236}">
              <a16:creationId xmlns:a16="http://schemas.microsoft.com/office/drawing/2014/main" id="{BB236551-CA48-44B6-BB6B-700119695876}"/>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468600" y="14382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529</xdr:row>
      <xdr:rowOff>0</xdr:rowOff>
    </xdr:from>
    <xdr:ext cx="152400" cy="152400"/>
    <xdr:pic>
      <xdr:nvPicPr>
        <xdr:cNvPr id="95" name="Immagine 94" descr="http://demaco.consob/ArchiflowWeb/images/indicator.gif">
          <a:extLst>
            <a:ext uri="{FF2B5EF4-FFF2-40B4-BE49-F238E27FC236}">
              <a16:creationId xmlns:a16="http://schemas.microsoft.com/office/drawing/2014/main" id="{230042BC-FD7D-447B-903A-D69D75844A9E}"/>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468600" y="14382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529</xdr:row>
      <xdr:rowOff>0</xdr:rowOff>
    </xdr:from>
    <xdr:ext cx="152400" cy="152400"/>
    <xdr:pic>
      <xdr:nvPicPr>
        <xdr:cNvPr id="96" name="Immagine 95" descr="http://demaco.consob/ArchiflowWeb/images/indicator.gif">
          <a:extLst>
            <a:ext uri="{FF2B5EF4-FFF2-40B4-BE49-F238E27FC236}">
              <a16:creationId xmlns:a16="http://schemas.microsoft.com/office/drawing/2014/main" id="{5996F5B8-EA11-4D4E-8822-894EE3B96E5F}"/>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468600" y="14382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529</xdr:row>
      <xdr:rowOff>0</xdr:rowOff>
    </xdr:from>
    <xdr:ext cx="152400" cy="152400"/>
    <xdr:pic>
      <xdr:nvPicPr>
        <xdr:cNvPr id="97" name="Immagine 96" descr="http://demaco.consob/ArchiflowWeb/images/indicator.gif">
          <a:extLst>
            <a:ext uri="{FF2B5EF4-FFF2-40B4-BE49-F238E27FC236}">
              <a16:creationId xmlns:a16="http://schemas.microsoft.com/office/drawing/2014/main" id="{2161D0D7-3F46-42EC-A30A-31B1799313B2}"/>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468600" y="14382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529</xdr:row>
      <xdr:rowOff>0</xdr:rowOff>
    </xdr:from>
    <xdr:ext cx="152400" cy="152400"/>
    <xdr:pic>
      <xdr:nvPicPr>
        <xdr:cNvPr id="98" name="Immagine 97" descr="http://demaco.consob/ArchiflowWeb/images/indicator.gif">
          <a:extLst>
            <a:ext uri="{FF2B5EF4-FFF2-40B4-BE49-F238E27FC236}">
              <a16:creationId xmlns:a16="http://schemas.microsoft.com/office/drawing/2014/main" id="{D3F65CEB-B8BF-4555-BD16-3307EF3CC893}"/>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468600" y="14382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529</xdr:row>
      <xdr:rowOff>0</xdr:rowOff>
    </xdr:from>
    <xdr:ext cx="152400" cy="152400"/>
    <xdr:pic>
      <xdr:nvPicPr>
        <xdr:cNvPr id="99" name="Immagine 98" descr="http://demaco.consob/ArchiflowWeb/images/indicator.gif">
          <a:extLst>
            <a:ext uri="{FF2B5EF4-FFF2-40B4-BE49-F238E27FC236}">
              <a16:creationId xmlns:a16="http://schemas.microsoft.com/office/drawing/2014/main" id="{4EF6F88C-0837-4EB2-8558-9080FC7035BF}"/>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468600" y="14382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529</xdr:row>
      <xdr:rowOff>0</xdr:rowOff>
    </xdr:from>
    <xdr:ext cx="152400" cy="152400"/>
    <xdr:pic>
      <xdr:nvPicPr>
        <xdr:cNvPr id="100" name="Immagine 99" descr="http://demaco.consob/ArchiflowWeb/images/indicator.gif">
          <a:extLst>
            <a:ext uri="{FF2B5EF4-FFF2-40B4-BE49-F238E27FC236}">
              <a16:creationId xmlns:a16="http://schemas.microsoft.com/office/drawing/2014/main" id="{E170C08E-BE97-43BA-87C5-70B1CAB3AC4D}"/>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468600" y="14382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529</xdr:row>
      <xdr:rowOff>0</xdr:rowOff>
    </xdr:from>
    <xdr:ext cx="152400" cy="152400"/>
    <xdr:pic>
      <xdr:nvPicPr>
        <xdr:cNvPr id="101" name="Immagine 100" descr="http://demaco.consob/ArchiflowWeb/images/indicator.gif">
          <a:extLst>
            <a:ext uri="{FF2B5EF4-FFF2-40B4-BE49-F238E27FC236}">
              <a16:creationId xmlns:a16="http://schemas.microsoft.com/office/drawing/2014/main" id="{6723D7D9-EFE5-46AB-A9A8-B2B519519C36}"/>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468600" y="14382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529</xdr:row>
      <xdr:rowOff>0</xdr:rowOff>
    </xdr:from>
    <xdr:ext cx="152400" cy="152400"/>
    <xdr:pic>
      <xdr:nvPicPr>
        <xdr:cNvPr id="102" name="Immagine 101" descr="http://demaco.consob/ArchiflowWeb/images/indicator.gif">
          <a:extLst>
            <a:ext uri="{FF2B5EF4-FFF2-40B4-BE49-F238E27FC236}">
              <a16:creationId xmlns:a16="http://schemas.microsoft.com/office/drawing/2014/main" id="{0DB14DEF-12F3-4062-A781-45082CD0A242}"/>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468600" y="14382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529</xdr:row>
      <xdr:rowOff>0</xdr:rowOff>
    </xdr:from>
    <xdr:ext cx="152400" cy="152400"/>
    <xdr:pic>
      <xdr:nvPicPr>
        <xdr:cNvPr id="103" name="Immagine 102" descr="http://demaco.consob/ArchiflowWeb/images/indicator.gif">
          <a:extLst>
            <a:ext uri="{FF2B5EF4-FFF2-40B4-BE49-F238E27FC236}">
              <a16:creationId xmlns:a16="http://schemas.microsoft.com/office/drawing/2014/main" id="{E83FF415-DB13-4F54-8404-E52ADCB8E6A9}"/>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468600" y="14382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529</xdr:row>
      <xdr:rowOff>0</xdr:rowOff>
    </xdr:from>
    <xdr:ext cx="152400" cy="152400"/>
    <xdr:pic>
      <xdr:nvPicPr>
        <xdr:cNvPr id="104" name="Immagine 103" descr="http://demaco.consob/ArchiflowWeb/images/indicator.gif">
          <a:extLst>
            <a:ext uri="{FF2B5EF4-FFF2-40B4-BE49-F238E27FC236}">
              <a16:creationId xmlns:a16="http://schemas.microsoft.com/office/drawing/2014/main" id="{9E7CEC46-A7F9-4D36-864D-B55A8F78387A}"/>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468600" y="14382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529</xdr:row>
      <xdr:rowOff>0</xdr:rowOff>
    </xdr:from>
    <xdr:ext cx="152400" cy="152400"/>
    <xdr:pic>
      <xdr:nvPicPr>
        <xdr:cNvPr id="105" name="Immagine 104" descr="http://demaco.consob/ArchiflowWeb/images/indicator.gif">
          <a:extLst>
            <a:ext uri="{FF2B5EF4-FFF2-40B4-BE49-F238E27FC236}">
              <a16:creationId xmlns:a16="http://schemas.microsoft.com/office/drawing/2014/main" id="{4EDDAF1C-3F20-4FB9-AC89-B1D2A3057861}"/>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468600" y="14382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529</xdr:row>
      <xdr:rowOff>0</xdr:rowOff>
    </xdr:from>
    <xdr:ext cx="152400" cy="152400"/>
    <xdr:pic>
      <xdr:nvPicPr>
        <xdr:cNvPr id="106" name="Immagine 105" descr="http://demaco.consob/ArchiflowWeb/images/indicator.gif">
          <a:extLst>
            <a:ext uri="{FF2B5EF4-FFF2-40B4-BE49-F238E27FC236}">
              <a16:creationId xmlns:a16="http://schemas.microsoft.com/office/drawing/2014/main" id="{CA44E66F-8EA9-4369-9EAA-DD64ACBB2351}"/>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468600" y="14382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529</xdr:row>
      <xdr:rowOff>0</xdr:rowOff>
    </xdr:from>
    <xdr:ext cx="152400" cy="152400"/>
    <xdr:pic>
      <xdr:nvPicPr>
        <xdr:cNvPr id="107" name="Immagine 106" descr="http://demaco.consob/ArchiflowWeb/images/indicator.gif">
          <a:extLst>
            <a:ext uri="{FF2B5EF4-FFF2-40B4-BE49-F238E27FC236}">
              <a16:creationId xmlns:a16="http://schemas.microsoft.com/office/drawing/2014/main" id="{C1812F67-9759-49F8-9CF2-88F01A224912}"/>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468600" y="14382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529</xdr:row>
      <xdr:rowOff>0</xdr:rowOff>
    </xdr:from>
    <xdr:ext cx="152400" cy="152400"/>
    <xdr:pic>
      <xdr:nvPicPr>
        <xdr:cNvPr id="108" name="Immagine 107" descr="http://demaco.consob/ArchiflowWeb/images/indicator.gif">
          <a:extLst>
            <a:ext uri="{FF2B5EF4-FFF2-40B4-BE49-F238E27FC236}">
              <a16:creationId xmlns:a16="http://schemas.microsoft.com/office/drawing/2014/main" id="{19AD39DB-0838-4A6B-A564-40AF1605B342}"/>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468600" y="14382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529</xdr:row>
      <xdr:rowOff>0</xdr:rowOff>
    </xdr:from>
    <xdr:ext cx="152400" cy="152400"/>
    <xdr:pic>
      <xdr:nvPicPr>
        <xdr:cNvPr id="109" name="Immagine 108" descr="http://demaco.consob/ArchiflowWeb/images/indicator.gif">
          <a:extLst>
            <a:ext uri="{FF2B5EF4-FFF2-40B4-BE49-F238E27FC236}">
              <a16:creationId xmlns:a16="http://schemas.microsoft.com/office/drawing/2014/main" id="{0A7CA1A5-44E0-4097-87EF-5438F4D976D4}"/>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468600" y="14382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529</xdr:row>
      <xdr:rowOff>0</xdr:rowOff>
    </xdr:from>
    <xdr:ext cx="152400" cy="152400"/>
    <xdr:pic>
      <xdr:nvPicPr>
        <xdr:cNvPr id="110" name="Immagine 109" descr="http://demaco.consob/ArchiflowWeb/images/indicator.gif">
          <a:extLst>
            <a:ext uri="{FF2B5EF4-FFF2-40B4-BE49-F238E27FC236}">
              <a16:creationId xmlns:a16="http://schemas.microsoft.com/office/drawing/2014/main" id="{83349276-9BDB-4E40-8FAF-B4C7ECDC0FFA}"/>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468600" y="14382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529</xdr:row>
      <xdr:rowOff>0</xdr:rowOff>
    </xdr:from>
    <xdr:ext cx="152400" cy="152400"/>
    <xdr:pic>
      <xdr:nvPicPr>
        <xdr:cNvPr id="111" name="Immagine 110" descr="http://demaco.consob/ArchiflowWeb/images/indicator.gif">
          <a:extLst>
            <a:ext uri="{FF2B5EF4-FFF2-40B4-BE49-F238E27FC236}">
              <a16:creationId xmlns:a16="http://schemas.microsoft.com/office/drawing/2014/main" id="{A351B044-3765-4176-A0CD-3A89FC20B82D}"/>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468600" y="14382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529</xdr:row>
      <xdr:rowOff>0</xdr:rowOff>
    </xdr:from>
    <xdr:ext cx="152400" cy="152400"/>
    <xdr:pic>
      <xdr:nvPicPr>
        <xdr:cNvPr id="112" name="Immagine 111" descr="http://demaco.consob/ArchiflowWeb/images/indicator.gif">
          <a:extLst>
            <a:ext uri="{FF2B5EF4-FFF2-40B4-BE49-F238E27FC236}">
              <a16:creationId xmlns:a16="http://schemas.microsoft.com/office/drawing/2014/main" id="{42119232-252B-421E-BEB4-A3D89AC7F342}"/>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250900" y="14382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529</xdr:row>
      <xdr:rowOff>0</xdr:rowOff>
    </xdr:from>
    <xdr:ext cx="152400" cy="152400"/>
    <xdr:pic>
      <xdr:nvPicPr>
        <xdr:cNvPr id="113" name="Immagine 112" descr="http://demaco.consob/ArchiflowWeb/images/indicator.gif">
          <a:extLst>
            <a:ext uri="{FF2B5EF4-FFF2-40B4-BE49-F238E27FC236}">
              <a16:creationId xmlns:a16="http://schemas.microsoft.com/office/drawing/2014/main" id="{86270336-313F-44E3-8795-3AB7F606F118}"/>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250900" y="14382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529</xdr:row>
      <xdr:rowOff>0</xdr:rowOff>
    </xdr:from>
    <xdr:ext cx="152400" cy="152400"/>
    <xdr:pic>
      <xdr:nvPicPr>
        <xdr:cNvPr id="114" name="Immagine 113" descr="http://demaco.consob/ArchiflowWeb/images/indicator.gif">
          <a:extLst>
            <a:ext uri="{FF2B5EF4-FFF2-40B4-BE49-F238E27FC236}">
              <a16:creationId xmlns:a16="http://schemas.microsoft.com/office/drawing/2014/main" id="{7F8AAF53-E14D-4884-96B6-7E1A2FCF64A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250900" y="14382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529</xdr:row>
      <xdr:rowOff>0</xdr:rowOff>
    </xdr:from>
    <xdr:ext cx="152400" cy="152400"/>
    <xdr:pic>
      <xdr:nvPicPr>
        <xdr:cNvPr id="115" name="Immagine 114" descr="http://demaco.consob/ArchiflowWeb/images/indicator.gif">
          <a:extLst>
            <a:ext uri="{FF2B5EF4-FFF2-40B4-BE49-F238E27FC236}">
              <a16:creationId xmlns:a16="http://schemas.microsoft.com/office/drawing/2014/main" id="{ABC9E087-7E0D-45BB-954E-F3F3B4985089}"/>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250900" y="14382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529</xdr:row>
      <xdr:rowOff>0</xdr:rowOff>
    </xdr:from>
    <xdr:ext cx="152400" cy="152400"/>
    <xdr:pic>
      <xdr:nvPicPr>
        <xdr:cNvPr id="116" name="Immagine 115" descr="http://demaco.consob/ArchiflowWeb/images/indicator.gif">
          <a:extLst>
            <a:ext uri="{FF2B5EF4-FFF2-40B4-BE49-F238E27FC236}">
              <a16:creationId xmlns:a16="http://schemas.microsoft.com/office/drawing/2014/main" id="{C93546CD-03B1-4B3C-AF3E-0397AFBEF4E5}"/>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250900" y="14382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529</xdr:row>
      <xdr:rowOff>0</xdr:rowOff>
    </xdr:from>
    <xdr:ext cx="152400" cy="152400"/>
    <xdr:pic>
      <xdr:nvPicPr>
        <xdr:cNvPr id="117" name="Immagine 116" descr="http://demaco.consob/ArchiflowWeb/images/indicator.gif">
          <a:extLst>
            <a:ext uri="{FF2B5EF4-FFF2-40B4-BE49-F238E27FC236}">
              <a16:creationId xmlns:a16="http://schemas.microsoft.com/office/drawing/2014/main" id="{72447BB3-BB97-400F-8590-B7CC85B8F045}"/>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250900" y="14382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529</xdr:row>
      <xdr:rowOff>0</xdr:rowOff>
    </xdr:from>
    <xdr:ext cx="152400" cy="152400"/>
    <xdr:pic>
      <xdr:nvPicPr>
        <xdr:cNvPr id="118" name="Immagine 117" descr="http://demaco.consob/ArchiflowWeb/images/indicator.gif">
          <a:extLst>
            <a:ext uri="{FF2B5EF4-FFF2-40B4-BE49-F238E27FC236}">
              <a16:creationId xmlns:a16="http://schemas.microsoft.com/office/drawing/2014/main" id="{B619C8F3-BA8E-4ED6-BE66-F9C91922FA48}"/>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250900" y="14382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529</xdr:row>
      <xdr:rowOff>0</xdr:rowOff>
    </xdr:from>
    <xdr:ext cx="152400" cy="152400"/>
    <xdr:pic>
      <xdr:nvPicPr>
        <xdr:cNvPr id="119" name="Immagine 118" descr="http://demaco.consob/ArchiflowWeb/images/indicator.gif">
          <a:extLst>
            <a:ext uri="{FF2B5EF4-FFF2-40B4-BE49-F238E27FC236}">
              <a16:creationId xmlns:a16="http://schemas.microsoft.com/office/drawing/2014/main" id="{BFF28094-EF41-4E0B-96EB-2F556D1F7089}"/>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250900" y="14382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529</xdr:row>
      <xdr:rowOff>0</xdr:rowOff>
    </xdr:from>
    <xdr:ext cx="152400" cy="152400"/>
    <xdr:pic>
      <xdr:nvPicPr>
        <xdr:cNvPr id="120" name="Immagine 119" descr="http://demaco.consob/ArchiflowWeb/images/indicator.gif">
          <a:extLst>
            <a:ext uri="{FF2B5EF4-FFF2-40B4-BE49-F238E27FC236}">
              <a16:creationId xmlns:a16="http://schemas.microsoft.com/office/drawing/2014/main" id="{9CABF97B-75E4-4F56-8D8C-18B17C77D1D7}"/>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250900" y="14382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529</xdr:row>
      <xdr:rowOff>0</xdr:rowOff>
    </xdr:from>
    <xdr:ext cx="152400" cy="152400"/>
    <xdr:pic>
      <xdr:nvPicPr>
        <xdr:cNvPr id="121" name="Immagine 120" descr="http://demaco.consob/ArchiflowWeb/images/indicator.gif">
          <a:extLst>
            <a:ext uri="{FF2B5EF4-FFF2-40B4-BE49-F238E27FC236}">
              <a16:creationId xmlns:a16="http://schemas.microsoft.com/office/drawing/2014/main" id="{B148CCE5-463E-4BE0-884C-CFEE97D98D67}"/>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250900" y="14382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529</xdr:row>
      <xdr:rowOff>0</xdr:rowOff>
    </xdr:from>
    <xdr:ext cx="152400" cy="152400"/>
    <xdr:pic>
      <xdr:nvPicPr>
        <xdr:cNvPr id="122" name="Immagine 121" descr="http://demaco.consob/ArchiflowWeb/images/indicator.gif">
          <a:extLst>
            <a:ext uri="{FF2B5EF4-FFF2-40B4-BE49-F238E27FC236}">
              <a16:creationId xmlns:a16="http://schemas.microsoft.com/office/drawing/2014/main" id="{D56BE157-6FF9-4AB2-953F-6761154ECFF4}"/>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250900" y="14382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529</xdr:row>
      <xdr:rowOff>0</xdr:rowOff>
    </xdr:from>
    <xdr:ext cx="152400" cy="152400"/>
    <xdr:pic>
      <xdr:nvPicPr>
        <xdr:cNvPr id="123" name="Immagine 122" descr="http://demaco.consob/ArchiflowWeb/images/indicator.gif">
          <a:extLst>
            <a:ext uri="{FF2B5EF4-FFF2-40B4-BE49-F238E27FC236}">
              <a16:creationId xmlns:a16="http://schemas.microsoft.com/office/drawing/2014/main" id="{5976CBFF-38CC-4020-931E-126BA21B385A}"/>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250900" y="14382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529</xdr:row>
      <xdr:rowOff>0</xdr:rowOff>
    </xdr:from>
    <xdr:ext cx="152400" cy="152400"/>
    <xdr:pic>
      <xdr:nvPicPr>
        <xdr:cNvPr id="124" name="Immagine 123" descr="http://demaco.consob/ArchiflowWeb/images/indicator.gif">
          <a:extLst>
            <a:ext uri="{FF2B5EF4-FFF2-40B4-BE49-F238E27FC236}">
              <a16:creationId xmlns:a16="http://schemas.microsoft.com/office/drawing/2014/main" id="{1F1A0D74-26AE-4606-94EE-63EF3A68804B}"/>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250900" y="14382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529</xdr:row>
      <xdr:rowOff>0</xdr:rowOff>
    </xdr:from>
    <xdr:ext cx="152400" cy="152400"/>
    <xdr:pic>
      <xdr:nvPicPr>
        <xdr:cNvPr id="125" name="Immagine 124" descr="http://demaco.consob/ArchiflowWeb/images/indicator.gif">
          <a:extLst>
            <a:ext uri="{FF2B5EF4-FFF2-40B4-BE49-F238E27FC236}">
              <a16:creationId xmlns:a16="http://schemas.microsoft.com/office/drawing/2014/main" id="{D46F6DF7-A348-452B-958E-A20ED7EA2238}"/>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250900" y="14382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529</xdr:row>
      <xdr:rowOff>0</xdr:rowOff>
    </xdr:from>
    <xdr:ext cx="152400" cy="152400"/>
    <xdr:pic>
      <xdr:nvPicPr>
        <xdr:cNvPr id="126" name="Immagine 125" descr="http://demaco.consob/ArchiflowWeb/images/indicator.gif">
          <a:extLst>
            <a:ext uri="{FF2B5EF4-FFF2-40B4-BE49-F238E27FC236}">
              <a16:creationId xmlns:a16="http://schemas.microsoft.com/office/drawing/2014/main" id="{EB4EE1E4-1418-4A60-A5EF-6172D18BB9D5}"/>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250900" y="14382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529</xdr:row>
      <xdr:rowOff>0</xdr:rowOff>
    </xdr:from>
    <xdr:ext cx="152400" cy="152400"/>
    <xdr:pic>
      <xdr:nvPicPr>
        <xdr:cNvPr id="127" name="Immagine 126" descr="http://demaco.consob/ArchiflowWeb/images/indicator.gif">
          <a:extLst>
            <a:ext uri="{FF2B5EF4-FFF2-40B4-BE49-F238E27FC236}">
              <a16:creationId xmlns:a16="http://schemas.microsoft.com/office/drawing/2014/main" id="{A835CABE-64E1-4F71-AF1A-059C0C1C4F94}"/>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250900" y="14382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529</xdr:row>
      <xdr:rowOff>0</xdr:rowOff>
    </xdr:from>
    <xdr:ext cx="152400" cy="152400"/>
    <xdr:pic>
      <xdr:nvPicPr>
        <xdr:cNvPr id="128" name="Immagine 127" descr="http://demaco.consob/ArchiflowWeb/images/indicator.gif">
          <a:extLst>
            <a:ext uri="{FF2B5EF4-FFF2-40B4-BE49-F238E27FC236}">
              <a16:creationId xmlns:a16="http://schemas.microsoft.com/office/drawing/2014/main" id="{84F49E8B-5B87-40F6-8150-BD4CFE8A9624}"/>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250900" y="14382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529</xdr:row>
      <xdr:rowOff>0</xdr:rowOff>
    </xdr:from>
    <xdr:ext cx="152400" cy="152400"/>
    <xdr:pic>
      <xdr:nvPicPr>
        <xdr:cNvPr id="129" name="Immagine 128" descr="http://demaco.consob/ArchiflowWeb/images/indicator.gif">
          <a:extLst>
            <a:ext uri="{FF2B5EF4-FFF2-40B4-BE49-F238E27FC236}">
              <a16:creationId xmlns:a16="http://schemas.microsoft.com/office/drawing/2014/main" id="{9914397B-ADAE-4C0D-ACD2-9D8EBB75A264}"/>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250900" y="14382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529</xdr:row>
      <xdr:rowOff>0</xdr:rowOff>
    </xdr:from>
    <xdr:ext cx="152400" cy="152400"/>
    <xdr:pic>
      <xdr:nvPicPr>
        <xdr:cNvPr id="130" name="Immagine 129" descr="http://demaco.consob/ArchiflowWeb/images/indicator.gif">
          <a:extLst>
            <a:ext uri="{FF2B5EF4-FFF2-40B4-BE49-F238E27FC236}">
              <a16:creationId xmlns:a16="http://schemas.microsoft.com/office/drawing/2014/main" id="{25CEF7D3-FE74-4B73-BA64-3BCC597ECDC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250900" y="14382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529</xdr:row>
      <xdr:rowOff>0</xdr:rowOff>
    </xdr:from>
    <xdr:ext cx="152400" cy="152400"/>
    <xdr:pic>
      <xdr:nvPicPr>
        <xdr:cNvPr id="131" name="Immagine 130" descr="http://demaco.consob/ArchiflowWeb/images/indicator.gif">
          <a:extLst>
            <a:ext uri="{FF2B5EF4-FFF2-40B4-BE49-F238E27FC236}">
              <a16:creationId xmlns:a16="http://schemas.microsoft.com/office/drawing/2014/main" id="{A2AC8DD6-E103-4185-B71A-5134744E979C}"/>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250900" y="14382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529</xdr:row>
      <xdr:rowOff>0</xdr:rowOff>
    </xdr:from>
    <xdr:ext cx="152400" cy="152400"/>
    <xdr:pic>
      <xdr:nvPicPr>
        <xdr:cNvPr id="132" name="Immagine 131" descr="http://demaco.consob/ArchiflowWeb/images/indicator.gif">
          <a:extLst>
            <a:ext uri="{FF2B5EF4-FFF2-40B4-BE49-F238E27FC236}">
              <a16:creationId xmlns:a16="http://schemas.microsoft.com/office/drawing/2014/main" id="{E1C025A6-890C-4587-A85A-7D6BB700B343}"/>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250900" y="14382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529</xdr:row>
      <xdr:rowOff>0</xdr:rowOff>
    </xdr:from>
    <xdr:ext cx="152400" cy="152400"/>
    <xdr:pic>
      <xdr:nvPicPr>
        <xdr:cNvPr id="133" name="Immagine 132" descr="http://demaco.consob/ArchiflowWeb/images/indicator.gif">
          <a:extLst>
            <a:ext uri="{FF2B5EF4-FFF2-40B4-BE49-F238E27FC236}">
              <a16:creationId xmlns:a16="http://schemas.microsoft.com/office/drawing/2014/main" id="{7FD03E18-999B-44BF-AEBE-FFF1ED8CFC33}"/>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250900" y="14382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539</xdr:row>
      <xdr:rowOff>0</xdr:rowOff>
    </xdr:from>
    <xdr:ext cx="152400" cy="152400"/>
    <xdr:pic>
      <xdr:nvPicPr>
        <xdr:cNvPr id="134" name="Immagine 133" descr="http://demaco.consob/ArchiflowWeb/images/indicator.gif">
          <a:extLst>
            <a:ext uri="{FF2B5EF4-FFF2-40B4-BE49-F238E27FC236}">
              <a16:creationId xmlns:a16="http://schemas.microsoft.com/office/drawing/2014/main" id="{13A98ED6-3F62-4EEF-84AA-FA6EA4BDFA39}"/>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539</xdr:row>
      <xdr:rowOff>0</xdr:rowOff>
    </xdr:from>
    <xdr:ext cx="152400" cy="152400"/>
    <xdr:pic>
      <xdr:nvPicPr>
        <xdr:cNvPr id="135" name="Immagine 134" descr="http://demaco.consob/ArchiflowWeb/images/indicator.gif">
          <a:extLst>
            <a:ext uri="{FF2B5EF4-FFF2-40B4-BE49-F238E27FC236}">
              <a16:creationId xmlns:a16="http://schemas.microsoft.com/office/drawing/2014/main" id="{D1FC3D99-F8BF-4D48-9991-8A14C3796D05}"/>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539</xdr:row>
      <xdr:rowOff>0</xdr:rowOff>
    </xdr:from>
    <xdr:ext cx="152400" cy="152400"/>
    <xdr:pic>
      <xdr:nvPicPr>
        <xdr:cNvPr id="136" name="Immagine 135" descr="http://demaco.consob/ArchiflowWeb/images/indicator.gif">
          <a:extLst>
            <a:ext uri="{FF2B5EF4-FFF2-40B4-BE49-F238E27FC236}">
              <a16:creationId xmlns:a16="http://schemas.microsoft.com/office/drawing/2014/main" id="{FAD74930-B0FB-49AC-A703-03D163AE29A8}"/>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539</xdr:row>
      <xdr:rowOff>0</xdr:rowOff>
    </xdr:from>
    <xdr:ext cx="152400" cy="152400"/>
    <xdr:pic>
      <xdr:nvPicPr>
        <xdr:cNvPr id="137" name="Immagine 136" descr="http://demaco.consob/ArchiflowWeb/images/indicator.gif">
          <a:extLst>
            <a:ext uri="{FF2B5EF4-FFF2-40B4-BE49-F238E27FC236}">
              <a16:creationId xmlns:a16="http://schemas.microsoft.com/office/drawing/2014/main" id="{6E4C3712-7285-45D6-9DE5-E97086FADC7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539</xdr:row>
      <xdr:rowOff>0</xdr:rowOff>
    </xdr:from>
    <xdr:ext cx="152400" cy="152400"/>
    <xdr:pic>
      <xdr:nvPicPr>
        <xdr:cNvPr id="138" name="Immagine 137" descr="http://demaco.consob/ArchiflowWeb/images/indicator.gif">
          <a:extLst>
            <a:ext uri="{FF2B5EF4-FFF2-40B4-BE49-F238E27FC236}">
              <a16:creationId xmlns:a16="http://schemas.microsoft.com/office/drawing/2014/main" id="{7643C41B-B1EF-427C-8707-117251887EFC}"/>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539</xdr:row>
      <xdr:rowOff>0</xdr:rowOff>
    </xdr:from>
    <xdr:ext cx="152400" cy="152400"/>
    <xdr:pic>
      <xdr:nvPicPr>
        <xdr:cNvPr id="139" name="Immagine 138" descr="http://demaco.consob/ArchiflowWeb/images/indicator.gif">
          <a:extLst>
            <a:ext uri="{FF2B5EF4-FFF2-40B4-BE49-F238E27FC236}">
              <a16:creationId xmlns:a16="http://schemas.microsoft.com/office/drawing/2014/main" id="{A311CA41-4924-4DF1-9CC6-63F7740FD5F6}"/>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539</xdr:row>
      <xdr:rowOff>0</xdr:rowOff>
    </xdr:from>
    <xdr:ext cx="152400" cy="152400"/>
    <xdr:pic>
      <xdr:nvPicPr>
        <xdr:cNvPr id="140" name="Immagine 139" descr="http://demaco.consob/ArchiflowWeb/images/indicator.gif">
          <a:extLst>
            <a:ext uri="{FF2B5EF4-FFF2-40B4-BE49-F238E27FC236}">
              <a16:creationId xmlns:a16="http://schemas.microsoft.com/office/drawing/2014/main" id="{97279A36-0617-423E-837D-922016B8E86C}"/>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539</xdr:row>
      <xdr:rowOff>0</xdr:rowOff>
    </xdr:from>
    <xdr:ext cx="152400" cy="152400"/>
    <xdr:pic>
      <xdr:nvPicPr>
        <xdr:cNvPr id="141" name="Immagine 140" descr="http://demaco.consob/ArchiflowWeb/images/indicator.gif">
          <a:extLst>
            <a:ext uri="{FF2B5EF4-FFF2-40B4-BE49-F238E27FC236}">
              <a16:creationId xmlns:a16="http://schemas.microsoft.com/office/drawing/2014/main" id="{09880EAB-7630-4980-A0C9-1231F737417D}"/>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539</xdr:row>
      <xdr:rowOff>0</xdr:rowOff>
    </xdr:from>
    <xdr:ext cx="152400" cy="152400"/>
    <xdr:pic>
      <xdr:nvPicPr>
        <xdr:cNvPr id="142" name="Immagine 141" descr="http://demaco.consob/ArchiflowWeb/images/indicator.gif">
          <a:extLst>
            <a:ext uri="{FF2B5EF4-FFF2-40B4-BE49-F238E27FC236}">
              <a16:creationId xmlns:a16="http://schemas.microsoft.com/office/drawing/2014/main" id="{F089C16D-E265-48D1-BE74-8C46339C35E7}"/>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539</xdr:row>
      <xdr:rowOff>0</xdr:rowOff>
    </xdr:from>
    <xdr:ext cx="152400" cy="152400"/>
    <xdr:pic>
      <xdr:nvPicPr>
        <xdr:cNvPr id="143" name="Immagine 142" descr="http://demaco.consob/ArchiflowWeb/images/indicator.gif">
          <a:extLst>
            <a:ext uri="{FF2B5EF4-FFF2-40B4-BE49-F238E27FC236}">
              <a16:creationId xmlns:a16="http://schemas.microsoft.com/office/drawing/2014/main" id="{0DB7C9A4-D98F-4BAD-A568-54095263BF6D}"/>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539</xdr:row>
      <xdr:rowOff>0</xdr:rowOff>
    </xdr:from>
    <xdr:ext cx="152400" cy="152400"/>
    <xdr:pic>
      <xdr:nvPicPr>
        <xdr:cNvPr id="144" name="Immagine 143" descr="http://demaco.consob/ArchiflowWeb/images/indicator.gif">
          <a:extLst>
            <a:ext uri="{FF2B5EF4-FFF2-40B4-BE49-F238E27FC236}">
              <a16:creationId xmlns:a16="http://schemas.microsoft.com/office/drawing/2014/main" id="{13D6C97A-67E5-4E05-BDE5-2594CD65058B}"/>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539</xdr:row>
      <xdr:rowOff>0</xdr:rowOff>
    </xdr:from>
    <xdr:ext cx="152400" cy="152400"/>
    <xdr:pic>
      <xdr:nvPicPr>
        <xdr:cNvPr id="145" name="Immagine 144" descr="http://demaco.consob/ArchiflowWeb/images/indicator.gif">
          <a:extLst>
            <a:ext uri="{FF2B5EF4-FFF2-40B4-BE49-F238E27FC236}">
              <a16:creationId xmlns:a16="http://schemas.microsoft.com/office/drawing/2014/main" id="{2E51DC26-5FFE-4D33-B6AC-F9C0988730F2}"/>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539</xdr:row>
      <xdr:rowOff>0</xdr:rowOff>
    </xdr:from>
    <xdr:ext cx="152400" cy="152400"/>
    <xdr:pic>
      <xdr:nvPicPr>
        <xdr:cNvPr id="146" name="Immagine 145" descr="http://demaco.consob/ArchiflowWeb/images/indicator.gif">
          <a:extLst>
            <a:ext uri="{FF2B5EF4-FFF2-40B4-BE49-F238E27FC236}">
              <a16:creationId xmlns:a16="http://schemas.microsoft.com/office/drawing/2014/main" id="{CF53F4C6-0A10-4F13-BF84-A5DF28F73CC3}"/>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539</xdr:row>
      <xdr:rowOff>0</xdr:rowOff>
    </xdr:from>
    <xdr:ext cx="152400" cy="152400"/>
    <xdr:pic>
      <xdr:nvPicPr>
        <xdr:cNvPr id="147" name="Immagine 146" descr="http://demaco.consob/ArchiflowWeb/images/indicator.gif">
          <a:extLst>
            <a:ext uri="{FF2B5EF4-FFF2-40B4-BE49-F238E27FC236}">
              <a16:creationId xmlns:a16="http://schemas.microsoft.com/office/drawing/2014/main" id="{A292BD5F-743E-469C-A5B3-F463A9278B74}"/>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539</xdr:row>
      <xdr:rowOff>0</xdr:rowOff>
    </xdr:from>
    <xdr:ext cx="152400" cy="152400"/>
    <xdr:pic>
      <xdr:nvPicPr>
        <xdr:cNvPr id="148" name="Immagine 147" descr="http://demaco.consob/ArchiflowWeb/images/indicator.gif">
          <a:extLst>
            <a:ext uri="{FF2B5EF4-FFF2-40B4-BE49-F238E27FC236}">
              <a16:creationId xmlns:a16="http://schemas.microsoft.com/office/drawing/2014/main" id="{48ED464C-9465-433D-A61B-1FF532875D7E}"/>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539</xdr:row>
      <xdr:rowOff>0</xdr:rowOff>
    </xdr:from>
    <xdr:ext cx="152400" cy="152400"/>
    <xdr:pic>
      <xdr:nvPicPr>
        <xdr:cNvPr id="149" name="Immagine 148" descr="http://demaco.consob/ArchiflowWeb/images/indicator.gif">
          <a:extLst>
            <a:ext uri="{FF2B5EF4-FFF2-40B4-BE49-F238E27FC236}">
              <a16:creationId xmlns:a16="http://schemas.microsoft.com/office/drawing/2014/main" id="{E5C90615-2E36-4566-B1C1-D4B034264473}"/>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539</xdr:row>
      <xdr:rowOff>0</xdr:rowOff>
    </xdr:from>
    <xdr:ext cx="152400" cy="152400"/>
    <xdr:pic>
      <xdr:nvPicPr>
        <xdr:cNvPr id="150" name="Immagine 149" descr="http://demaco.consob/ArchiflowWeb/images/indicator.gif">
          <a:extLst>
            <a:ext uri="{FF2B5EF4-FFF2-40B4-BE49-F238E27FC236}">
              <a16:creationId xmlns:a16="http://schemas.microsoft.com/office/drawing/2014/main" id="{DDCAE31C-31A1-43B9-B3C3-CD210F0DF9DB}"/>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539</xdr:row>
      <xdr:rowOff>0</xdr:rowOff>
    </xdr:from>
    <xdr:ext cx="152400" cy="152400"/>
    <xdr:pic>
      <xdr:nvPicPr>
        <xdr:cNvPr id="151" name="Immagine 150" descr="http://demaco.consob/ArchiflowWeb/images/indicator.gif">
          <a:extLst>
            <a:ext uri="{FF2B5EF4-FFF2-40B4-BE49-F238E27FC236}">
              <a16:creationId xmlns:a16="http://schemas.microsoft.com/office/drawing/2014/main" id="{0D95CAE5-7649-498A-9EDE-273A7EC37F17}"/>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539</xdr:row>
      <xdr:rowOff>0</xdr:rowOff>
    </xdr:from>
    <xdr:ext cx="152400" cy="152400"/>
    <xdr:pic>
      <xdr:nvPicPr>
        <xdr:cNvPr id="152" name="Immagine 151" descr="http://demaco.consob/ArchiflowWeb/images/indicator.gif">
          <a:extLst>
            <a:ext uri="{FF2B5EF4-FFF2-40B4-BE49-F238E27FC236}">
              <a16:creationId xmlns:a16="http://schemas.microsoft.com/office/drawing/2014/main" id="{65CBB41D-5E3C-4B40-8A2E-2D76C3D035BF}"/>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539</xdr:row>
      <xdr:rowOff>0</xdr:rowOff>
    </xdr:from>
    <xdr:ext cx="152400" cy="152400"/>
    <xdr:pic>
      <xdr:nvPicPr>
        <xdr:cNvPr id="153" name="Immagine 152" descr="http://demaco.consob/ArchiflowWeb/images/indicator.gif">
          <a:extLst>
            <a:ext uri="{FF2B5EF4-FFF2-40B4-BE49-F238E27FC236}">
              <a16:creationId xmlns:a16="http://schemas.microsoft.com/office/drawing/2014/main" id="{A3AD1D68-B917-4251-BF54-E2BE7B736C9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539</xdr:row>
      <xdr:rowOff>0</xdr:rowOff>
    </xdr:from>
    <xdr:ext cx="152400" cy="152400"/>
    <xdr:pic>
      <xdr:nvPicPr>
        <xdr:cNvPr id="154" name="Immagine 153" descr="http://demaco.consob/ArchiflowWeb/images/indicator.gif">
          <a:extLst>
            <a:ext uri="{FF2B5EF4-FFF2-40B4-BE49-F238E27FC236}">
              <a16:creationId xmlns:a16="http://schemas.microsoft.com/office/drawing/2014/main" id="{CE15ADC1-358F-41E6-B93F-D9C1526F6B4D}"/>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539</xdr:row>
      <xdr:rowOff>0</xdr:rowOff>
    </xdr:from>
    <xdr:ext cx="152400" cy="152400"/>
    <xdr:pic>
      <xdr:nvPicPr>
        <xdr:cNvPr id="155" name="Immagine 154" descr="http://demaco.consob/ArchiflowWeb/images/indicator.gif">
          <a:extLst>
            <a:ext uri="{FF2B5EF4-FFF2-40B4-BE49-F238E27FC236}">
              <a16:creationId xmlns:a16="http://schemas.microsoft.com/office/drawing/2014/main" id="{6C54404E-92D9-4F80-8860-E17D910DA3B4}"/>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539</xdr:row>
      <xdr:rowOff>0</xdr:rowOff>
    </xdr:from>
    <xdr:ext cx="152400" cy="152400"/>
    <xdr:pic>
      <xdr:nvPicPr>
        <xdr:cNvPr id="156" name="Immagine 155" descr="http://demaco.consob/ArchiflowWeb/images/indicator.gif">
          <a:extLst>
            <a:ext uri="{FF2B5EF4-FFF2-40B4-BE49-F238E27FC236}">
              <a16:creationId xmlns:a16="http://schemas.microsoft.com/office/drawing/2014/main" id="{EFC6F50B-FA0E-4CC4-8ED8-FE45BDA3364E}"/>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539</xdr:row>
      <xdr:rowOff>0</xdr:rowOff>
    </xdr:from>
    <xdr:ext cx="152400" cy="152400"/>
    <xdr:pic>
      <xdr:nvPicPr>
        <xdr:cNvPr id="157" name="Immagine 156" descr="http://demaco.consob/ArchiflowWeb/images/indicator.gif">
          <a:extLst>
            <a:ext uri="{FF2B5EF4-FFF2-40B4-BE49-F238E27FC236}">
              <a16:creationId xmlns:a16="http://schemas.microsoft.com/office/drawing/2014/main" id="{C6361708-E9A5-47CD-8E2A-5C792F519111}"/>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539</xdr:row>
      <xdr:rowOff>0</xdr:rowOff>
    </xdr:from>
    <xdr:ext cx="152400" cy="152400"/>
    <xdr:pic>
      <xdr:nvPicPr>
        <xdr:cNvPr id="158" name="Immagine 157" descr="http://demaco.consob/ArchiflowWeb/images/indicator.gif">
          <a:extLst>
            <a:ext uri="{FF2B5EF4-FFF2-40B4-BE49-F238E27FC236}">
              <a16:creationId xmlns:a16="http://schemas.microsoft.com/office/drawing/2014/main" id="{E6ABC7CF-A85A-4F91-A063-BE71FF924049}"/>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539</xdr:row>
      <xdr:rowOff>0</xdr:rowOff>
    </xdr:from>
    <xdr:ext cx="152400" cy="152400"/>
    <xdr:pic>
      <xdr:nvPicPr>
        <xdr:cNvPr id="159" name="Immagine 158" descr="http://demaco.consob/ArchiflowWeb/images/indicator.gif">
          <a:extLst>
            <a:ext uri="{FF2B5EF4-FFF2-40B4-BE49-F238E27FC236}">
              <a16:creationId xmlns:a16="http://schemas.microsoft.com/office/drawing/2014/main" id="{DA386A7B-A977-4444-8BF0-6DFC8C835C2A}"/>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539</xdr:row>
      <xdr:rowOff>0</xdr:rowOff>
    </xdr:from>
    <xdr:ext cx="152400" cy="152400"/>
    <xdr:pic>
      <xdr:nvPicPr>
        <xdr:cNvPr id="160" name="Immagine 159" descr="http://demaco.consob/ArchiflowWeb/images/indicator.gif">
          <a:extLst>
            <a:ext uri="{FF2B5EF4-FFF2-40B4-BE49-F238E27FC236}">
              <a16:creationId xmlns:a16="http://schemas.microsoft.com/office/drawing/2014/main" id="{622624C4-B96F-406D-86F7-FE64E50E8E19}"/>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539</xdr:row>
      <xdr:rowOff>0</xdr:rowOff>
    </xdr:from>
    <xdr:ext cx="152400" cy="152400"/>
    <xdr:pic>
      <xdr:nvPicPr>
        <xdr:cNvPr id="161" name="Immagine 160" descr="http://demaco.consob/ArchiflowWeb/images/indicator.gif">
          <a:extLst>
            <a:ext uri="{FF2B5EF4-FFF2-40B4-BE49-F238E27FC236}">
              <a16:creationId xmlns:a16="http://schemas.microsoft.com/office/drawing/2014/main" id="{1A818559-86FE-4A15-90A4-C1B47E5B9952}"/>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539</xdr:row>
      <xdr:rowOff>0</xdr:rowOff>
    </xdr:from>
    <xdr:ext cx="152400" cy="152400"/>
    <xdr:pic>
      <xdr:nvPicPr>
        <xdr:cNvPr id="162" name="Immagine 161" descr="http://demaco.consob/ArchiflowWeb/images/indicator.gif">
          <a:extLst>
            <a:ext uri="{FF2B5EF4-FFF2-40B4-BE49-F238E27FC236}">
              <a16:creationId xmlns:a16="http://schemas.microsoft.com/office/drawing/2014/main" id="{19E65F66-706D-4024-B4D4-882D3B9852A3}"/>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539</xdr:row>
      <xdr:rowOff>0</xdr:rowOff>
    </xdr:from>
    <xdr:ext cx="152400" cy="152400"/>
    <xdr:pic>
      <xdr:nvPicPr>
        <xdr:cNvPr id="163" name="Immagine 162" descr="http://demaco.consob/ArchiflowWeb/images/indicator.gif">
          <a:extLst>
            <a:ext uri="{FF2B5EF4-FFF2-40B4-BE49-F238E27FC236}">
              <a16:creationId xmlns:a16="http://schemas.microsoft.com/office/drawing/2014/main" id="{D057A9E3-2255-4051-A3E5-A7FDEAE12C72}"/>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539</xdr:row>
      <xdr:rowOff>0</xdr:rowOff>
    </xdr:from>
    <xdr:ext cx="152400" cy="152400"/>
    <xdr:pic>
      <xdr:nvPicPr>
        <xdr:cNvPr id="164" name="Immagine 163" descr="http://demaco.consob/ArchiflowWeb/images/indicator.gif">
          <a:extLst>
            <a:ext uri="{FF2B5EF4-FFF2-40B4-BE49-F238E27FC236}">
              <a16:creationId xmlns:a16="http://schemas.microsoft.com/office/drawing/2014/main" id="{ADAF4424-21C4-4B53-90F9-2EC020F358CB}"/>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539</xdr:row>
      <xdr:rowOff>0</xdr:rowOff>
    </xdr:from>
    <xdr:ext cx="152400" cy="152400"/>
    <xdr:pic>
      <xdr:nvPicPr>
        <xdr:cNvPr id="165" name="Immagine 164" descr="http://demaco.consob/ArchiflowWeb/images/indicator.gif">
          <a:extLst>
            <a:ext uri="{FF2B5EF4-FFF2-40B4-BE49-F238E27FC236}">
              <a16:creationId xmlns:a16="http://schemas.microsoft.com/office/drawing/2014/main" id="{016081A9-CDE5-46AE-A9F5-D79953F9741B}"/>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539</xdr:row>
      <xdr:rowOff>0</xdr:rowOff>
    </xdr:from>
    <xdr:ext cx="152400" cy="152400"/>
    <xdr:pic>
      <xdr:nvPicPr>
        <xdr:cNvPr id="166" name="Immagine 165" descr="http://demaco.consob/ArchiflowWeb/images/indicator.gif">
          <a:extLst>
            <a:ext uri="{FF2B5EF4-FFF2-40B4-BE49-F238E27FC236}">
              <a16:creationId xmlns:a16="http://schemas.microsoft.com/office/drawing/2014/main" id="{11FF7A97-526D-4216-85FA-BBBCAD7DEF3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539</xdr:row>
      <xdr:rowOff>0</xdr:rowOff>
    </xdr:from>
    <xdr:ext cx="152400" cy="152400"/>
    <xdr:pic>
      <xdr:nvPicPr>
        <xdr:cNvPr id="167" name="Immagine 166" descr="http://demaco.consob/ArchiflowWeb/images/indicator.gif">
          <a:extLst>
            <a:ext uri="{FF2B5EF4-FFF2-40B4-BE49-F238E27FC236}">
              <a16:creationId xmlns:a16="http://schemas.microsoft.com/office/drawing/2014/main" id="{9EE8FE80-E2A9-4371-B52F-D2702D96DBC8}"/>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539</xdr:row>
      <xdr:rowOff>0</xdr:rowOff>
    </xdr:from>
    <xdr:ext cx="152400" cy="152400"/>
    <xdr:pic>
      <xdr:nvPicPr>
        <xdr:cNvPr id="168" name="Immagine 167" descr="http://demaco.consob/ArchiflowWeb/images/indicator.gif">
          <a:extLst>
            <a:ext uri="{FF2B5EF4-FFF2-40B4-BE49-F238E27FC236}">
              <a16:creationId xmlns:a16="http://schemas.microsoft.com/office/drawing/2014/main" id="{72ED4B12-F27E-41C1-925F-4861A49A906E}"/>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539</xdr:row>
      <xdr:rowOff>0</xdr:rowOff>
    </xdr:from>
    <xdr:ext cx="152400" cy="152400"/>
    <xdr:pic>
      <xdr:nvPicPr>
        <xdr:cNvPr id="169" name="Immagine 168" descr="http://demaco.consob/ArchiflowWeb/images/indicator.gif">
          <a:extLst>
            <a:ext uri="{FF2B5EF4-FFF2-40B4-BE49-F238E27FC236}">
              <a16:creationId xmlns:a16="http://schemas.microsoft.com/office/drawing/2014/main" id="{BE308C56-8774-47D9-B4E3-DF4FA7574583}"/>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539</xdr:row>
      <xdr:rowOff>0</xdr:rowOff>
    </xdr:from>
    <xdr:ext cx="152400" cy="152400"/>
    <xdr:pic>
      <xdr:nvPicPr>
        <xdr:cNvPr id="170" name="Immagine 169" descr="http://demaco.consob/ArchiflowWeb/images/indicator.gif">
          <a:extLst>
            <a:ext uri="{FF2B5EF4-FFF2-40B4-BE49-F238E27FC236}">
              <a16:creationId xmlns:a16="http://schemas.microsoft.com/office/drawing/2014/main" id="{A0892866-E74B-4573-AB24-5E1E088DDC22}"/>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539</xdr:row>
      <xdr:rowOff>0</xdr:rowOff>
    </xdr:from>
    <xdr:ext cx="152400" cy="152400"/>
    <xdr:pic>
      <xdr:nvPicPr>
        <xdr:cNvPr id="171" name="Immagine 170" descr="http://demaco.consob/ArchiflowWeb/images/indicator.gif">
          <a:extLst>
            <a:ext uri="{FF2B5EF4-FFF2-40B4-BE49-F238E27FC236}">
              <a16:creationId xmlns:a16="http://schemas.microsoft.com/office/drawing/2014/main" id="{55D3147F-358C-458E-8922-FD9AE5B6664C}"/>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539</xdr:row>
      <xdr:rowOff>0</xdr:rowOff>
    </xdr:from>
    <xdr:ext cx="152400" cy="152400"/>
    <xdr:pic>
      <xdr:nvPicPr>
        <xdr:cNvPr id="172" name="Immagine 171" descr="http://demaco.consob/ArchiflowWeb/images/indicator.gif">
          <a:extLst>
            <a:ext uri="{FF2B5EF4-FFF2-40B4-BE49-F238E27FC236}">
              <a16:creationId xmlns:a16="http://schemas.microsoft.com/office/drawing/2014/main" id="{23EF6334-4271-4F35-93E8-56370919B4DF}"/>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539</xdr:row>
      <xdr:rowOff>0</xdr:rowOff>
    </xdr:from>
    <xdr:ext cx="152400" cy="152400"/>
    <xdr:pic>
      <xdr:nvPicPr>
        <xdr:cNvPr id="173" name="Immagine 172" descr="http://demaco.consob/ArchiflowWeb/images/indicator.gif">
          <a:extLst>
            <a:ext uri="{FF2B5EF4-FFF2-40B4-BE49-F238E27FC236}">
              <a16:creationId xmlns:a16="http://schemas.microsoft.com/office/drawing/2014/main" id="{9DBD9109-2656-4007-B2BB-F37CAF53F416}"/>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539</xdr:row>
      <xdr:rowOff>0</xdr:rowOff>
    </xdr:from>
    <xdr:ext cx="152400" cy="152400"/>
    <xdr:pic>
      <xdr:nvPicPr>
        <xdr:cNvPr id="174" name="Immagine 173" descr="http://demaco.consob/ArchiflowWeb/images/indicator.gif">
          <a:extLst>
            <a:ext uri="{FF2B5EF4-FFF2-40B4-BE49-F238E27FC236}">
              <a16:creationId xmlns:a16="http://schemas.microsoft.com/office/drawing/2014/main" id="{8895E485-292E-41D3-818F-E90133743C7E}"/>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539</xdr:row>
      <xdr:rowOff>0</xdr:rowOff>
    </xdr:from>
    <xdr:ext cx="152400" cy="152400"/>
    <xdr:pic>
      <xdr:nvPicPr>
        <xdr:cNvPr id="175" name="Immagine 174" descr="http://demaco.consob/ArchiflowWeb/images/indicator.gif">
          <a:extLst>
            <a:ext uri="{FF2B5EF4-FFF2-40B4-BE49-F238E27FC236}">
              <a16:creationId xmlns:a16="http://schemas.microsoft.com/office/drawing/2014/main" id="{91DF23E5-6677-4D01-A77F-A35EB4730919}"/>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539</xdr:row>
      <xdr:rowOff>0</xdr:rowOff>
    </xdr:from>
    <xdr:ext cx="152400" cy="152400"/>
    <xdr:pic>
      <xdr:nvPicPr>
        <xdr:cNvPr id="176" name="Immagine 175" descr="http://demaco.consob/ArchiflowWeb/images/indicator.gif">
          <a:extLst>
            <a:ext uri="{FF2B5EF4-FFF2-40B4-BE49-F238E27FC236}">
              <a16:creationId xmlns:a16="http://schemas.microsoft.com/office/drawing/2014/main" id="{7E3B4F08-4A2D-4805-9D6E-BBAE4D29945C}"/>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539</xdr:row>
      <xdr:rowOff>0</xdr:rowOff>
    </xdr:from>
    <xdr:ext cx="152400" cy="152400"/>
    <xdr:pic>
      <xdr:nvPicPr>
        <xdr:cNvPr id="177" name="Immagine 176" descr="http://demaco.consob/ArchiflowWeb/images/indicator.gif">
          <a:extLst>
            <a:ext uri="{FF2B5EF4-FFF2-40B4-BE49-F238E27FC236}">
              <a16:creationId xmlns:a16="http://schemas.microsoft.com/office/drawing/2014/main" id="{5146B131-3685-4CD0-9D59-3B852D742D9A}"/>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539</xdr:row>
      <xdr:rowOff>0</xdr:rowOff>
    </xdr:from>
    <xdr:ext cx="152400" cy="152400"/>
    <xdr:pic>
      <xdr:nvPicPr>
        <xdr:cNvPr id="178" name="Immagine 177" descr="http://demaco.consob/ArchiflowWeb/images/indicator.gif">
          <a:extLst>
            <a:ext uri="{FF2B5EF4-FFF2-40B4-BE49-F238E27FC236}">
              <a16:creationId xmlns:a16="http://schemas.microsoft.com/office/drawing/2014/main" id="{E6B2B28D-3B58-4A61-B52C-049047A004E1}"/>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539</xdr:row>
      <xdr:rowOff>0</xdr:rowOff>
    </xdr:from>
    <xdr:ext cx="152400" cy="152400"/>
    <xdr:pic>
      <xdr:nvPicPr>
        <xdr:cNvPr id="179" name="Immagine 178" descr="http://demaco.consob/ArchiflowWeb/images/indicator.gif">
          <a:extLst>
            <a:ext uri="{FF2B5EF4-FFF2-40B4-BE49-F238E27FC236}">
              <a16:creationId xmlns:a16="http://schemas.microsoft.com/office/drawing/2014/main" id="{BF3729E2-370D-425E-847F-E50BDB56A38D}"/>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539</xdr:row>
      <xdr:rowOff>0</xdr:rowOff>
    </xdr:from>
    <xdr:ext cx="152400" cy="152400"/>
    <xdr:pic>
      <xdr:nvPicPr>
        <xdr:cNvPr id="180" name="Immagine 179" descr="http://demaco.consob/ArchiflowWeb/images/indicator.gif">
          <a:extLst>
            <a:ext uri="{FF2B5EF4-FFF2-40B4-BE49-F238E27FC236}">
              <a16:creationId xmlns:a16="http://schemas.microsoft.com/office/drawing/2014/main" id="{D3D7B1BA-CE82-4C64-B05A-BD5841164896}"/>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539</xdr:row>
      <xdr:rowOff>0</xdr:rowOff>
    </xdr:from>
    <xdr:ext cx="152400" cy="152400"/>
    <xdr:pic>
      <xdr:nvPicPr>
        <xdr:cNvPr id="181" name="Immagine 180" descr="http://demaco.consob/ArchiflowWeb/images/indicator.gif">
          <a:extLst>
            <a:ext uri="{FF2B5EF4-FFF2-40B4-BE49-F238E27FC236}">
              <a16:creationId xmlns:a16="http://schemas.microsoft.com/office/drawing/2014/main" id="{6CEE900E-8A3A-484C-BD02-39D5D25C15C6}"/>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539</xdr:row>
      <xdr:rowOff>0</xdr:rowOff>
    </xdr:from>
    <xdr:ext cx="152400" cy="152400"/>
    <xdr:pic>
      <xdr:nvPicPr>
        <xdr:cNvPr id="182" name="Immagine 181" descr="http://demaco.consob/ArchiflowWeb/images/indicator.gif">
          <a:extLst>
            <a:ext uri="{FF2B5EF4-FFF2-40B4-BE49-F238E27FC236}">
              <a16:creationId xmlns:a16="http://schemas.microsoft.com/office/drawing/2014/main" id="{0C85B0B8-BD0C-4CF9-BBA3-5F9E4414196B}"/>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539</xdr:row>
      <xdr:rowOff>0</xdr:rowOff>
    </xdr:from>
    <xdr:ext cx="152400" cy="152400"/>
    <xdr:pic>
      <xdr:nvPicPr>
        <xdr:cNvPr id="183" name="Immagine 182" descr="http://demaco.consob/ArchiflowWeb/images/indicator.gif">
          <a:extLst>
            <a:ext uri="{FF2B5EF4-FFF2-40B4-BE49-F238E27FC236}">
              <a16:creationId xmlns:a16="http://schemas.microsoft.com/office/drawing/2014/main" id="{1C9806B2-9329-4540-843B-C26382DA4C64}"/>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539</xdr:row>
      <xdr:rowOff>0</xdr:rowOff>
    </xdr:from>
    <xdr:ext cx="152400" cy="152400"/>
    <xdr:pic>
      <xdr:nvPicPr>
        <xdr:cNvPr id="184" name="Immagine 183" descr="http://demaco.consob/ArchiflowWeb/images/indicator.gif">
          <a:extLst>
            <a:ext uri="{FF2B5EF4-FFF2-40B4-BE49-F238E27FC236}">
              <a16:creationId xmlns:a16="http://schemas.microsoft.com/office/drawing/2014/main" id="{17430163-8B94-4AFF-82DF-C17F02834016}"/>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539</xdr:row>
      <xdr:rowOff>0</xdr:rowOff>
    </xdr:from>
    <xdr:ext cx="152400" cy="152400"/>
    <xdr:pic>
      <xdr:nvPicPr>
        <xdr:cNvPr id="185" name="Immagine 184" descr="http://demaco.consob/ArchiflowWeb/images/indicator.gif">
          <a:extLst>
            <a:ext uri="{FF2B5EF4-FFF2-40B4-BE49-F238E27FC236}">
              <a16:creationId xmlns:a16="http://schemas.microsoft.com/office/drawing/2014/main" id="{ACFD9154-7661-4C83-AFD0-4C618E73D6E6}"/>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539</xdr:row>
      <xdr:rowOff>0</xdr:rowOff>
    </xdr:from>
    <xdr:ext cx="152400" cy="152400"/>
    <xdr:pic>
      <xdr:nvPicPr>
        <xdr:cNvPr id="186" name="Immagine 185" descr="http://demaco.consob/ArchiflowWeb/images/indicator.gif">
          <a:extLst>
            <a:ext uri="{FF2B5EF4-FFF2-40B4-BE49-F238E27FC236}">
              <a16:creationId xmlns:a16="http://schemas.microsoft.com/office/drawing/2014/main" id="{0DC67D51-BDC6-4760-B932-1D847518B469}"/>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539</xdr:row>
      <xdr:rowOff>0</xdr:rowOff>
    </xdr:from>
    <xdr:ext cx="152400" cy="152400"/>
    <xdr:pic>
      <xdr:nvPicPr>
        <xdr:cNvPr id="187" name="Immagine 186" descr="http://demaco.consob/ArchiflowWeb/images/indicator.gif">
          <a:extLst>
            <a:ext uri="{FF2B5EF4-FFF2-40B4-BE49-F238E27FC236}">
              <a16:creationId xmlns:a16="http://schemas.microsoft.com/office/drawing/2014/main" id="{AE84607F-16E3-4104-AE0F-0B1E30BF0C8D}"/>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539</xdr:row>
      <xdr:rowOff>0</xdr:rowOff>
    </xdr:from>
    <xdr:ext cx="152400" cy="152400"/>
    <xdr:pic>
      <xdr:nvPicPr>
        <xdr:cNvPr id="188" name="Immagine 187" descr="http://demaco.consob/ArchiflowWeb/images/indicator.gif">
          <a:extLst>
            <a:ext uri="{FF2B5EF4-FFF2-40B4-BE49-F238E27FC236}">
              <a16:creationId xmlns:a16="http://schemas.microsoft.com/office/drawing/2014/main" id="{85CBC09A-4070-431B-B4F9-3EC3DDB54F18}"/>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539</xdr:row>
      <xdr:rowOff>0</xdr:rowOff>
    </xdr:from>
    <xdr:ext cx="152400" cy="152400"/>
    <xdr:pic>
      <xdr:nvPicPr>
        <xdr:cNvPr id="189" name="Immagine 188" descr="http://demaco.consob/ArchiflowWeb/images/indicator.gif">
          <a:extLst>
            <a:ext uri="{FF2B5EF4-FFF2-40B4-BE49-F238E27FC236}">
              <a16:creationId xmlns:a16="http://schemas.microsoft.com/office/drawing/2014/main" id="{59FF7B63-D671-4817-9462-DEB6D98AE23F}"/>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539</xdr:row>
      <xdr:rowOff>0</xdr:rowOff>
    </xdr:from>
    <xdr:ext cx="152400" cy="152400"/>
    <xdr:pic>
      <xdr:nvPicPr>
        <xdr:cNvPr id="190" name="Immagine 189" descr="http://demaco.consob/ArchiflowWeb/images/indicator.gif">
          <a:extLst>
            <a:ext uri="{FF2B5EF4-FFF2-40B4-BE49-F238E27FC236}">
              <a16:creationId xmlns:a16="http://schemas.microsoft.com/office/drawing/2014/main" id="{F41C1FF1-3E7A-4182-8C3C-F688F520252D}"/>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539</xdr:row>
      <xdr:rowOff>0</xdr:rowOff>
    </xdr:from>
    <xdr:ext cx="152400" cy="152400"/>
    <xdr:pic>
      <xdr:nvPicPr>
        <xdr:cNvPr id="191" name="Immagine 190" descr="http://demaco.consob/ArchiflowWeb/images/indicator.gif">
          <a:extLst>
            <a:ext uri="{FF2B5EF4-FFF2-40B4-BE49-F238E27FC236}">
              <a16:creationId xmlns:a16="http://schemas.microsoft.com/office/drawing/2014/main" id="{976ABDC9-F6ED-417B-AD28-357226E1F12C}"/>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539</xdr:row>
      <xdr:rowOff>0</xdr:rowOff>
    </xdr:from>
    <xdr:ext cx="152400" cy="152400"/>
    <xdr:pic>
      <xdr:nvPicPr>
        <xdr:cNvPr id="192" name="Immagine 191" descr="http://demaco.consob/ArchiflowWeb/images/indicator.gif">
          <a:extLst>
            <a:ext uri="{FF2B5EF4-FFF2-40B4-BE49-F238E27FC236}">
              <a16:creationId xmlns:a16="http://schemas.microsoft.com/office/drawing/2014/main" id="{12D6658B-9E28-4DDD-A8C1-9F04A6A8E945}"/>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539</xdr:row>
      <xdr:rowOff>0</xdr:rowOff>
    </xdr:from>
    <xdr:ext cx="152400" cy="152400"/>
    <xdr:pic>
      <xdr:nvPicPr>
        <xdr:cNvPr id="193" name="Immagine 192" descr="http://demaco.consob/ArchiflowWeb/images/indicator.gif">
          <a:extLst>
            <a:ext uri="{FF2B5EF4-FFF2-40B4-BE49-F238E27FC236}">
              <a16:creationId xmlns:a16="http://schemas.microsoft.com/office/drawing/2014/main" id="{BDB02CA4-D07B-4EE5-A4B9-0C968DE1543A}"/>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539</xdr:row>
      <xdr:rowOff>0</xdr:rowOff>
    </xdr:from>
    <xdr:ext cx="152400" cy="152400"/>
    <xdr:pic>
      <xdr:nvPicPr>
        <xdr:cNvPr id="194" name="Immagine 193" descr="http://demaco.consob/ArchiflowWeb/images/indicator.gif">
          <a:extLst>
            <a:ext uri="{FF2B5EF4-FFF2-40B4-BE49-F238E27FC236}">
              <a16:creationId xmlns:a16="http://schemas.microsoft.com/office/drawing/2014/main" id="{C54DCE07-9CB1-46A2-BFE0-209A3AE33D95}"/>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539</xdr:row>
      <xdr:rowOff>0</xdr:rowOff>
    </xdr:from>
    <xdr:ext cx="152400" cy="152400"/>
    <xdr:pic>
      <xdr:nvPicPr>
        <xdr:cNvPr id="195" name="Immagine 194" descr="http://demaco.consob/ArchiflowWeb/images/indicator.gif">
          <a:extLst>
            <a:ext uri="{FF2B5EF4-FFF2-40B4-BE49-F238E27FC236}">
              <a16:creationId xmlns:a16="http://schemas.microsoft.com/office/drawing/2014/main" id="{C6CB71B2-904E-46ED-8973-E08A7BCF1FED}"/>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539</xdr:row>
      <xdr:rowOff>0</xdr:rowOff>
    </xdr:from>
    <xdr:ext cx="152400" cy="152400"/>
    <xdr:pic>
      <xdr:nvPicPr>
        <xdr:cNvPr id="196" name="Immagine 195" descr="http://demaco.consob/ArchiflowWeb/images/indicator.gif">
          <a:extLst>
            <a:ext uri="{FF2B5EF4-FFF2-40B4-BE49-F238E27FC236}">
              <a16:creationId xmlns:a16="http://schemas.microsoft.com/office/drawing/2014/main" id="{46B1E370-D025-42F7-A6F3-0CFFD0544D54}"/>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539</xdr:row>
      <xdr:rowOff>0</xdr:rowOff>
    </xdr:from>
    <xdr:ext cx="152400" cy="152400"/>
    <xdr:pic>
      <xdr:nvPicPr>
        <xdr:cNvPr id="197" name="Immagine 196" descr="http://demaco.consob/ArchiflowWeb/images/indicator.gif">
          <a:extLst>
            <a:ext uri="{FF2B5EF4-FFF2-40B4-BE49-F238E27FC236}">
              <a16:creationId xmlns:a16="http://schemas.microsoft.com/office/drawing/2014/main" id="{1485E73E-D010-48CE-8B17-51EE2294DA97}"/>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539</xdr:row>
      <xdr:rowOff>0</xdr:rowOff>
    </xdr:from>
    <xdr:ext cx="152400" cy="152400"/>
    <xdr:pic>
      <xdr:nvPicPr>
        <xdr:cNvPr id="198" name="Immagine 197" descr="http://demaco.consob/ArchiflowWeb/images/indicator.gif">
          <a:extLst>
            <a:ext uri="{FF2B5EF4-FFF2-40B4-BE49-F238E27FC236}">
              <a16:creationId xmlns:a16="http://schemas.microsoft.com/office/drawing/2014/main" id="{07001CE9-C7DF-4724-911A-6D72C0B95CF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539</xdr:row>
      <xdr:rowOff>0</xdr:rowOff>
    </xdr:from>
    <xdr:ext cx="152400" cy="152400"/>
    <xdr:pic>
      <xdr:nvPicPr>
        <xdr:cNvPr id="199" name="Immagine 198" descr="http://demaco.consob/ArchiflowWeb/images/indicator.gif">
          <a:extLst>
            <a:ext uri="{FF2B5EF4-FFF2-40B4-BE49-F238E27FC236}">
              <a16:creationId xmlns:a16="http://schemas.microsoft.com/office/drawing/2014/main" id="{3AFFD4F6-8CA5-4AA2-BE82-782D0E7B1AFA}"/>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539</xdr:row>
      <xdr:rowOff>0</xdr:rowOff>
    </xdr:from>
    <xdr:ext cx="152400" cy="152400"/>
    <xdr:pic>
      <xdr:nvPicPr>
        <xdr:cNvPr id="200" name="Immagine 199" descr="http://demaco.consob/ArchiflowWeb/images/indicator.gif">
          <a:extLst>
            <a:ext uri="{FF2B5EF4-FFF2-40B4-BE49-F238E27FC236}">
              <a16:creationId xmlns:a16="http://schemas.microsoft.com/office/drawing/2014/main" id="{FF541BAE-CB94-4A49-BA50-B1452C3A1E25}"/>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539</xdr:row>
      <xdr:rowOff>0</xdr:rowOff>
    </xdr:from>
    <xdr:ext cx="152400" cy="152400"/>
    <xdr:pic>
      <xdr:nvPicPr>
        <xdr:cNvPr id="201" name="Immagine 200" descr="http://demaco.consob/ArchiflowWeb/images/indicator.gif">
          <a:extLst>
            <a:ext uri="{FF2B5EF4-FFF2-40B4-BE49-F238E27FC236}">
              <a16:creationId xmlns:a16="http://schemas.microsoft.com/office/drawing/2014/main" id="{24AADEBA-A230-4519-9916-C6849AFE18D8}"/>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539</xdr:row>
      <xdr:rowOff>0</xdr:rowOff>
    </xdr:from>
    <xdr:ext cx="152400" cy="152400"/>
    <xdr:pic>
      <xdr:nvPicPr>
        <xdr:cNvPr id="202" name="Immagine 201" descr="http://demaco.consob/ArchiflowWeb/images/indicator.gif">
          <a:extLst>
            <a:ext uri="{FF2B5EF4-FFF2-40B4-BE49-F238E27FC236}">
              <a16:creationId xmlns:a16="http://schemas.microsoft.com/office/drawing/2014/main" id="{3CB961DC-FD41-48A5-957A-286FC129369D}"/>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539</xdr:row>
      <xdr:rowOff>0</xdr:rowOff>
    </xdr:from>
    <xdr:ext cx="152400" cy="152400"/>
    <xdr:pic>
      <xdr:nvPicPr>
        <xdr:cNvPr id="203" name="Immagine 202" descr="http://demaco.consob/ArchiflowWeb/images/indicator.gif">
          <a:extLst>
            <a:ext uri="{FF2B5EF4-FFF2-40B4-BE49-F238E27FC236}">
              <a16:creationId xmlns:a16="http://schemas.microsoft.com/office/drawing/2014/main" id="{02E3AF5C-42E2-4DF8-8CF1-CE9D5E569D5A}"/>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539</xdr:row>
      <xdr:rowOff>0</xdr:rowOff>
    </xdr:from>
    <xdr:ext cx="152400" cy="152400"/>
    <xdr:pic>
      <xdr:nvPicPr>
        <xdr:cNvPr id="204" name="Immagine 203" descr="http://demaco.consob/ArchiflowWeb/images/indicator.gif">
          <a:extLst>
            <a:ext uri="{FF2B5EF4-FFF2-40B4-BE49-F238E27FC236}">
              <a16:creationId xmlns:a16="http://schemas.microsoft.com/office/drawing/2014/main" id="{53D09B5C-6051-4A23-885D-449FAB20FB2C}"/>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539</xdr:row>
      <xdr:rowOff>0</xdr:rowOff>
    </xdr:from>
    <xdr:ext cx="152400" cy="152400"/>
    <xdr:pic>
      <xdr:nvPicPr>
        <xdr:cNvPr id="205" name="Immagine 204" descr="http://demaco.consob/ArchiflowWeb/images/indicator.gif">
          <a:extLst>
            <a:ext uri="{FF2B5EF4-FFF2-40B4-BE49-F238E27FC236}">
              <a16:creationId xmlns:a16="http://schemas.microsoft.com/office/drawing/2014/main" id="{833540FC-A6BF-477D-8690-F2BA92A7969D}"/>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539</xdr:row>
      <xdr:rowOff>0</xdr:rowOff>
    </xdr:from>
    <xdr:ext cx="152400" cy="152400"/>
    <xdr:pic>
      <xdr:nvPicPr>
        <xdr:cNvPr id="206" name="Immagine 205" descr="http://demaco.consob/ArchiflowWeb/images/indicator.gif">
          <a:extLst>
            <a:ext uri="{FF2B5EF4-FFF2-40B4-BE49-F238E27FC236}">
              <a16:creationId xmlns:a16="http://schemas.microsoft.com/office/drawing/2014/main" id="{4061987D-ABFA-4539-A6D7-E5DED0EF530B}"/>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539</xdr:row>
      <xdr:rowOff>0</xdr:rowOff>
    </xdr:from>
    <xdr:ext cx="152400" cy="152400"/>
    <xdr:pic>
      <xdr:nvPicPr>
        <xdr:cNvPr id="207" name="Immagine 206" descr="http://demaco.consob/ArchiflowWeb/images/indicator.gif">
          <a:extLst>
            <a:ext uri="{FF2B5EF4-FFF2-40B4-BE49-F238E27FC236}">
              <a16:creationId xmlns:a16="http://schemas.microsoft.com/office/drawing/2014/main" id="{ACA965D6-8888-424F-86D2-7289ABC7811B}"/>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539</xdr:row>
      <xdr:rowOff>0</xdr:rowOff>
    </xdr:from>
    <xdr:ext cx="152400" cy="152400"/>
    <xdr:pic>
      <xdr:nvPicPr>
        <xdr:cNvPr id="208" name="Immagine 207" descr="http://demaco.consob/ArchiflowWeb/images/indicator.gif">
          <a:extLst>
            <a:ext uri="{FF2B5EF4-FFF2-40B4-BE49-F238E27FC236}">
              <a16:creationId xmlns:a16="http://schemas.microsoft.com/office/drawing/2014/main" id="{5694244E-B2CC-44EB-9229-0734EA1F0036}"/>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539</xdr:row>
      <xdr:rowOff>0</xdr:rowOff>
    </xdr:from>
    <xdr:ext cx="152400" cy="152400"/>
    <xdr:pic>
      <xdr:nvPicPr>
        <xdr:cNvPr id="209" name="Immagine 208" descr="http://demaco.consob/ArchiflowWeb/images/indicator.gif">
          <a:extLst>
            <a:ext uri="{FF2B5EF4-FFF2-40B4-BE49-F238E27FC236}">
              <a16:creationId xmlns:a16="http://schemas.microsoft.com/office/drawing/2014/main" id="{81563602-9587-4CBF-B4F6-822039071ED5}"/>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539</xdr:row>
      <xdr:rowOff>0</xdr:rowOff>
    </xdr:from>
    <xdr:ext cx="152400" cy="152400"/>
    <xdr:pic>
      <xdr:nvPicPr>
        <xdr:cNvPr id="210" name="Immagine 209" descr="http://demaco.consob/ArchiflowWeb/images/indicator.gif">
          <a:extLst>
            <a:ext uri="{FF2B5EF4-FFF2-40B4-BE49-F238E27FC236}">
              <a16:creationId xmlns:a16="http://schemas.microsoft.com/office/drawing/2014/main" id="{FB3E191A-2F3D-4668-A000-5097094B8353}"/>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539</xdr:row>
      <xdr:rowOff>0</xdr:rowOff>
    </xdr:from>
    <xdr:ext cx="152400" cy="152400"/>
    <xdr:pic>
      <xdr:nvPicPr>
        <xdr:cNvPr id="211" name="Immagine 210" descr="http://demaco.consob/ArchiflowWeb/images/indicator.gif">
          <a:extLst>
            <a:ext uri="{FF2B5EF4-FFF2-40B4-BE49-F238E27FC236}">
              <a16:creationId xmlns:a16="http://schemas.microsoft.com/office/drawing/2014/main" id="{FF540CE4-7882-439A-BD1A-6931E6CA2828}"/>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539</xdr:row>
      <xdr:rowOff>0</xdr:rowOff>
    </xdr:from>
    <xdr:ext cx="152400" cy="152400"/>
    <xdr:pic>
      <xdr:nvPicPr>
        <xdr:cNvPr id="212" name="Immagine 211" descr="http://demaco.consob/ArchiflowWeb/images/indicator.gif">
          <a:extLst>
            <a:ext uri="{FF2B5EF4-FFF2-40B4-BE49-F238E27FC236}">
              <a16:creationId xmlns:a16="http://schemas.microsoft.com/office/drawing/2014/main" id="{BBEE3E2A-E807-4B38-9B5E-B21414FD9518}"/>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539</xdr:row>
      <xdr:rowOff>0</xdr:rowOff>
    </xdr:from>
    <xdr:ext cx="152400" cy="152400"/>
    <xdr:pic>
      <xdr:nvPicPr>
        <xdr:cNvPr id="213" name="Immagine 212" descr="http://demaco.consob/ArchiflowWeb/images/indicator.gif">
          <a:extLst>
            <a:ext uri="{FF2B5EF4-FFF2-40B4-BE49-F238E27FC236}">
              <a16:creationId xmlns:a16="http://schemas.microsoft.com/office/drawing/2014/main" id="{99F205AA-9322-4F35-9C7F-770D306A90E8}"/>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539</xdr:row>
      <xdr:rowOff>0</xdr:rowOff>
    </xdr:from>
    <xdr:ext cx="152400" cy="152400"/>
    <xdr:pic>
      <xdr:nvPicPr>
        <xdr:cNvPr id="214" name="Immagine 213" descr="http://demaco.consob/ArchiflowWeb/images/indicator.gif">
          <a:extLst>
            <a:ext uri="{FF2B5EF4-FFF2-40B4-BE49-F238E27FC236}">
              <a16:creationId xmlns:a16="http://schemas.microsoft.com/office/drawing/2014/main" id="{6B9EF1D0-1AA3-4787-B260-20ED39C11963}"/>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539</xdr:row>
      <xdr:rowOff>0</xdr:rowOff>
    </xdr:from>
    <xdr:ext cx="152400" cy="152400"/>
    <xdr:pic>
      <xdr:nvPicPr>
        <xdr:cNvPr id="215" name="Immagine 214" descr="http://demaco.consob/ArchiflowWeb/images/indicator.gif">
          <a:extLst>
            <a:ext uri="{FF2B5EF4-FFF2-40B4-BE49-F238E27FC236}">
              <a16:creationId xmlns:a16="http://schemas.microsoft.com/office/drawing/2014/main" id="{96D71F1D-3B62-4D68-9DC2-9205EDD7E948}"/>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539</xdr:row>
      <xdr:rowOff>0</xdr:rowOff>
    </xdr:from>
    <xdr:ext cx="152400" cy="152400"/>
    <xdr:pic>
      <xdr:nvPicPr>
        <xdr:cNvPr id="216" name="Immagine 215" descr="http://demaco.consob/ArchiflowWeb/images/indicator.gif">
          <a:extLst>
            <a:ext uri="{FF2B5EF4-FFF2-40B4-BE49-F238E27FC236}">
              <a16:creationId xmlns:a16="http://schemas.microsoft.com/office/drawing/2014/main" id="{B47ACF2A-CC93-4334-B5A4-B71C3B5784B2}"/>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539</xdr:row>
      <xdr:rowOff>0</xdr:rowOff>
    </xdr:from>
    <xdr:ext cx="152400" cy="152400"/>
    <xdr:pic>
      <xdr:nvPicPr>
        <xdr:cNvPr id="217" name="Immagine 216" descr="http://demaco.consob/ArchiflowWeb/images/indicator.gif">
          <a:extLst>
            <a:ext uri="{FF2B5EF4-FFF2-40B4-BE49-F238E27FC236}">
              <a16:creationId xmlns:a16="http://schemas.microsoft.com/office/drawing/2014/main" id="{C741AB97-97EE-42F0-B9C8-74A507C919AA}"/>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539</xdr:row>
      <xdr:rowOff>0</xdr:rowOff>
    </xdr:from>
    <xdr:ext cx="152400" cy="152400"/>
    <xdr:pic>
      <xdr:nvPicPr>
        <xdr:cNvPr id="218" name="Immagine 217" descr="http://demaco.consob/ArchiflowWeb/images/indicator.gif">
          <a:extLst>
            <a:ext uri="{FF2B5EF4-FFF2-40B4-BE49-F238E27FC236}">
              <a16:creationId xmlns:a16="http://schemas.microsoft.com/office/drawing/2014/main" id="{62EC3554-E141-4F0C-907B-DEB530151AA4}"/>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539</xdr:row>
      <xdr:rowOff>0</xdr:rowOff>
    </xdr:from>
    <xdr:ext cx="152400" cy="152400"/>
    <xdr:pic>
      <xdr:nvPicPr>
        <xdr:cNvPr id="219" name="Immagine 218" descr="http://demaco.consob/ArchiflowWeb/images/indicator.gif">
          <a:extLst>
            <a:ext uri="{FF2B5EF4-FFF2-40B4-BE49-F238E27FC236}">
              <a16:creationId xmlns:a16="http://schemas.microsoft.com/office/drawing/2014/main" id="{F1B1D0B5-9D38-4625-9739-43117BA3C953}"/>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539</xdr:row>
      <xdr:rowOff>0</xdr:rowOff>
    </xdr:from>
    <xdr:ext cx="152400" cy="152400"/>
    <xdr:pic>
      <xdr:nvPicPr>
        <xdr:cNvPr id="220" name="Immagine 219" descr="http://demaco.consob/ArchiflowWeb/images/indicator.gif">
          <a:extLst>
            <a:ext uri="{FF2B5EF4-FFF2-40B4-BE49-F238E27FC236}">
              <a16:creationId xmlns:a16="http://schemas.microsoft.com/office/drawing/2014/main" id="{BDD39BFE-B079-48A1-BDF1-34470C10BFC6}"/>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539</xdr:row>
      <xdr:rowOff>0</xdr:rowOff>
    </xdr:from>
    <xdr:ext cx="152400" cy="152400"/>
    <xdr:pic>
      <xdr:nvPicPr>
        <xdr:cNvPr id="221" name="Immagine 220" descr="http://demaco.consob/ArchiflowWeb/images/indicator.gif">
          <a:extLst>
            <a:ext uri="{FF2B5EF4-FFF2-40B4-BE49-F238E27FC236}">
              <a16:creationId xmlns:a16="http://schemas.microsoft.com/office/drawing/2014/main" id="{376E3DBD-D5DA-4490-A42B-A0E4B0B7837F}"/>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539</xdr:row>
      <xdr:rowOff>0</xdr:rowOff>
    </xdr:from>
    <xdr:ext cx="152400" cy="152400"/>
    <xdr:pic>
      <xdr:nvPicPr>
        <xdr:cNvPr id="222" name="Immagine 221" descr="http://demaco.consob/ArchiflowWeb/images/indicator.gif">
          <a:extLst>
            <a:ext uri="{FF2B5EF4-FFF2-40B4-BE49-F238E27FC236}">
              <a16:creationId xmlns:a16="http://schemas.microsoft.com/office/drawing/2014/main" id="{AF0E00AC-56DA-4324-A3E7-5D8EE610D5B4}"/>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539</xdr:row>
      <xdr:rowOff>0</xdr:rowOff>
    </xdr:from>
    <xdr:ext cx="152400" cy="152400"/>
    <xdr:pic>
      <xdr:nvPicPr>
        <xdr:cNvPr id="223" name="Immagine 222" descr="http://demaco.consob/ArchiflowWeb/images/indicator.gif">
          <a:extLst>
            <a:ext uri="{FF2B5EF4-FFF2-40B4-BE49-F238E27FC236}">
              <a16:creationId xmlns:a16="http://schemas.microsoft.com/office/drawing/2014/main" id="{47D40D55-D7C4-4FF6-AC26-675879F2C7EB}"/>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539</xdr:row>
      <xdr:rowOff>0</xdr:rowOff>
    </xdr:from>
    <xdr:ext cx="152400" cy="152400"/>
    <xdr:pic>
      <xdr:nvPicPr>
        <xdr:cNvPr id="224" name="Immagine 223" descr="http://demaco.consob/ArchiflowWeb/images/indicator.gif">
          <a:extLst>
            <a:ext uri="{FF2B5EF4-FFF2-40B4-BE49-F238E27FC236}">
              <a16:creationId xmlns:a16="http://schemas.microsoft.com/office/drawing/2014/main" id="{4CBDE8E9-8452-4A66-B2EC-70678FCF4E32}"/>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539</xdr:row>
      <xdr:rowOff>0</xdr:rowOff>
    </xdr:from>
    <xdr:ext cx="152400" cy="152400"/>
    <xdr:pic>
      <xdr:nvPicPr>
        <xdr:cNvPr id="225" name="Immagine 224" descr="http://demaco.consob/ArchiflowWeb/images/indicator.gif">
          <a:extLst>
            <a:ext uri="{FF2B5EF4-FFF2-40B4-BE49-F238E27FC236}">
              <a16:creationId xmlns:a16="http://schemas.microsoft.com/office/drawing/2014/main" id="{29F317EF-6F59-4100-9EB7-869B630DEE51}"/>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539</xdr:row>
      <xdr:rowOff>0</xdr:rowOff>
    </xdr:from>
    <xdr:ext cx="152400" cy="152400"/>
    <xdr:pic>
      <xdr:nvPicPr>
        <xdr:cNvPr id="226" name="Immagine 225" descr="http://demaco.consob/ArchiflowWeb/images/indicator.gif">
          <a:extLst>
            <a:ext uri="{FF2B5EF4-FFF2-40B4-BE49-F238E27FC236}">
              <a16:creationId xmlns:a16="http://schemas.microsoft.com/office/drawing/2014/main" id="{28578151-D8ED-4E6F-B9E5-5F89DFC8835F}"/>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539</xdr:row>
      <xdr:rowOff>0</xdr:rowOff>
    </xdr:from>
    <xdr:ext cx="152400" cy="152400"/>
    <xdr:pic>
      <xdr:nvPicPr>
        <xdr:cNvPr id="227" name="Immagine 226" descr="http://demaco.consob/ArchiflowWeb/images/indicator.gif">
          <a:extLst>
            <a:ext uri="{FF2B5EF4-FFF2-40B4-BE49-F238E27FC236}">
              <a16:creationId xmlns:a16="http://schemas.microsoft.com/office/drawing/2014/main" id="{E57369F7-AD0F-4CE2-AB92-18179B81394A}"/>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539</xdr:row>
      <xdr:rowOff>0</xdr:rowOff>
    </xdr:from>
    <xdr:ext cx="152400" cy="152400"/>
    <xdr:pic>
      <xdr:nvPicPr>
        <xdr:cNvPr id="228" name="Immagine 227" descr="http://demaco.consob/ArchiflowWeb/images/indicator.gif">
          <a:extLst>
            <a:ext uri="{FF2B5EF4-FFF2-40B4-BE49-F238E27FC236}">
              <a16:creationId xmlns:a16="http://schemas.microsoft.com/office/drawing/2014/main" id="{88D70405-AB7D-4B9C-96F4-9E223C6ED412}"/>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539</xdr:row>
      <xdr:rowOff>0</xdr:rowOff>
    </xdr:from>
    <xdr:ext cx="152400" cy="152400"/>
    <xdr:pic>
      <xdr:nvPicPr>
        <xdr:cNvPr id="229" name="Immagine 228" descr="http://demaco.consob/ArchiflowWeb/images/indicator.gif">
          <a:extLst>
            <a:ext uri="{FF2B5EF4-FFF2-40B4-BE49-F238E27FC236}">
              <a16:creationId xmlns:a16="http://schemas.microsoft.com/office/drawing/2014/main" id="{E2501F6F-8E8C-46BF-9932-057C80DA89E2}"/>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539</xdr:row>
      <xdr:rowOff>0</xdr:rowOff>
    </xdr:from>
    <xdr:ext cx="152400" cy="152400"/>
    <xdr:pic>
      <xdr:nvPicPr>
        <xdr:cNvPr id="230" name="Immagine 229" descr="http://demaco.consob/ArchiflowWeb/images/indicator.gif">
          <a:extLst>
            <a:ext uri="{FF2B5EF4-FFF2-40B4-BE49-F238E27FC236}">
              <a16:creationId xmlns:a16="http://schemas.microsoft.com/office/drawing/2014/main" id="{1E85F9A3-FABB-45DD-9689-6079021143B4}"/>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539</xdr:row>
      <xdr:rowOff>0</xdr:rowOff>
    </xdr:from>
    <xdr:ext cx="152400" cy="152400"/>
    <xdr:pic>
      <xdr:nvPicPr>
        <xdr:cNvPr id="231" name="Immagine 230" descr="http://demaco.consob/ArchiflowWeb/images/indicator.gif">
          <a:extLst>
            <a:ext uri="{FF2B5EF4-FFF2-40B4-BE49-F238E27FC236}">
              <a16:creationId xmlns:a16="http://schemas.microsoft.com/office/drawing/2014/main" id="{F4B22DCB-5C0C-4387-90CB-47DA15F58309}"/>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539</xdr:row>
      <xdr:rowOff>0</xdr:rowOff>
    </xdr:from>
    <xdr:ext cx="152400" cy="152400"/>
    <xdr:pic>
      <xdr:nvPicPr>
        <xdr:cNvPr id="232" name="Immagine 231" descr="http://demaco.consob/ArchiflowWeb/images/indicator.gif">
          <a:extLst>
            <a:ext uri="{FF2B5EF4-FFF2-40B4-BE49-F238E27FC236}">
              <a16:creationId xmlns:a16="http://schemas.microsoft.com/office/drawing/2014/main" id="{46264EFE-B7E2-4FEC-9A45-6E1F3DD47D53}"/>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539</xdr:row>
      <xdr:rowOff>0</xdr:rowOff>
    </xdr:from>
    <xdr:ext cx="152400" cy="152400"/>
    <xdr:pic>
      <xdr:nvPicPr>
        <xdr:cNvPr id="233" name="Immagine 232" descr="http://demaco.consob/ArchiflowWeb/images/indicator.gif">
          <a:extLst>
            <a:ext uri="{FF2B5EF4-FFF2-40B4-BE49-F238E27FC236}">
              <a16:creationId xmlns:a16="http://schemas.microsoft.com/office/drawing/2014/main" id="{4594CD12-9235-4D1F-8986-ACFD2EBE41B8}"/>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539</xdr:row>
      <xdr:rowOff>0</xdr:rowOff>
    </xdr:from>
    <xdr:ext cx="152400" cy="152400"/>
    <xdr:pic>
      <xdr:nvPicPr>
        <xdr:cNvPr id="234" name="Immagine 233" descr="http://demaco.consob/ArchiflowWeb/images/indicator.gif">
          <a:extLst>
            <a:ext uri="{FF2B5EF4-FFF2-40B4-BE49-F238E27FC236}">
              <a16:creationId xmlns:a16="http://schemas.microsoft.com/office/drawing/2014/main" id="{44FF42A1-41E4-49D3-9508-820E790C20BA}"/>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539</xdr:row>
      <xdr:rowOff>0</xdr:rowOff>
    </xdr:from>
    <xdr:ext cx="152400" cy="152400"/>
    <xdr:pic>
      <xdr:nvPicPr>
        <xdr:cNvPr id="235" name="Immagine 234" descr="http://demaco.consob/ArchiflowWeb/images/indicator.gif">
          <a:extLst>
            <a:ext uri="{FF2B5EF4-FFF2-40B4-BE49-F238E27FC236}">
              <a16:creationId xmlns:a16="http://schemas.microsoft.com/office/drawing/2014/main" id="{EAB62DA4-6707-462F-87AF-473B2F6BA79F}"/>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539</xdr:row>
      <xdr:rowOff>0</xdr:rowOff>
    </xdr:from>
    <xdr:ext cx="152400" cy="152400"/>
    <xdr:pic>
      <xdr:nvPicPr>
        <xdr:cNvPr id="236" name="Immagine 235" descr="http://demaco.consob/ArchiflowWeb/images/indicator.gif">
          <a:extLst>
            <a:ext uri="{FF2B5EF4-FFF2-40B4-BE49-F238E27FC236}">
              <a16:creationId xmlns:a16="http://schemas.microsoft.com/office/drawing/2014/main" id="{23AACBC8-BDA6-46AE-84E6-9C4E13298EFC}"/>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539</xdr:row>
      <xdr:rowOff>0</xdr:rowOff>
    </xdr:from>
    <xdr:ext cx="152400" cy="152400"/>
    <xdr:pic>
      <xdr:nvPicPr>
        <xdr:cNvPr id="237" name="Immagine 236" descr="http://demaco.consob/ArchiflowWeb/images/indicator.gif">
          <a:extLst>
            <a:ext uri="{FF2B5EF4-FFF2-40B4-BE49-F238E27FC236}">
              <a16:creationId xmlns:a16="http://schemas.microsoft.com/office/drawing/2014/main" id="{F176F59E-A827-4E60-A92B-13E16C6E41C9}"/>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539</xdr:row>
      <xdr:rowOff>0</xdr:rowOff>
    </xdr:from>
    <xdr:ext cx="152400" cy="152400"/>
    <xdr:pic>
      <xdr:nvPicPr>
        <xdr:cNvPr id="238" name="Immagine 237" descr="http://demaco.consob/ArchiflowWeb/images/indicator.gif">
          <a:extLst>
            <a:ext uri="{FF2B5EF4-FFF2-40B4-BE49-F238E27FC236}">
              <a16:creationId xmlns:a16="http://schemas.microsoft.com/office/drawing/2014/main" id="{2378B554-72A0-4FEC-BE80-9479D71175BF}"/>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539</xdr:row>
      <xdr:rowOff>0</xdr:rowOff>
    </xdr:from>
    <xdr:ext cx="152400" cy="152400"/>
    <xdr:pic>
      <xdr:nvPicPr>
        <xdr:cNvPr id="239" name="Immagine 238" descr="http://demaco.consob/ArchiflowWeb/images/indicator.gif">
          <a:extLst>
            <a:ext uri="{FF2B5EF4-FFF2-40B4-BE49-F238E27FC236}">
              <a16:creationId xmlns:a16="http://schemas.microsoft.com/office/drawing/2014/main" id="{7E1BA3B9-76E7-4782-999C-DB7B7335C1B1}"/>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539</xdr:row>
      <xdr:rowOff>0</xdr:rowOff>
    </xdr:from>
    <xdr:ext cx="152400" cy="152400"/>
    <xdr:pic>
      <xdr:nvPicPr>
        <xdr:cNvPr id="240" name="Immagine 239" descr="http://demaco.consob/ArchiflowWeb/images/indicator.gif">
          <a:extLst>
            <a:ext uri="{FF2B5EF4-FFF2-40B4-BE49-F238E27FC236}">
              <a16:creationId xmlns:a16="http://schemas.microsoft.com/office/drawing/2014/main" id="{94341A7B-7D4C-4465-BEDE-1B0B0938A674}"/>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539</xdr:row>
      <xdr:rowOff>0</xdr:rowOff>
    </xdr:from>
    <xdr:ext cx="152400" cy="152400"/>
    <xdr:pic>
      <xdr:nvPicPr>
        <xdr:cNvPr id="241" name="Immagine 240" descr="http://demaco.consob/ArchiflowWeb/images/indicator.gif">
          <a:extLst>
            <a:ext uri="{FF2B5EF4-FFF2-40B4-BE49-F238E27FC236}">
              <a16:creationId xmlns:a16="http://schemas.microsoft.com/office/drawing/2014/main" id="{646F2DA7-3345-4EC0-98BC-C6F257B22317}"/>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539</xdr:row>
      <xdr:rowOff>0</xdr:rowOff>
    </xdr:from>
    <xdr:ext cx="152400" cy="152400"/>
    <xdr:pic>
      <xdr:nvPicPr>
        <xdr:cNvPr id="242" name="Immagine 241" descr="http://demaco.consob/ArchiflowWeb/images/indicator.gif">
          <a:extLst>
            <a:ext uri="{FF2B5EF4-FFF2-40B4-BE49-F238E27FC236}">
              <a16:creationId xmlns:a16="http://schemas.microsoft.com/office/drawing/2014/main" id="{E56F3604-84B6-4951-86CB-FCDD08975F0C}"/>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539</xdr:row>
      <xdr:rowOff>0</xdr:rowOff>
    </xdr:from>
    <xdr:ext cx="152400" cy="152400"/>
    <xdr:pic>
      <xdr:nvPicPr>
        <xdr:cNvPr id="243" name="Immagine 242" descr="http://demaco.consob/ArchiflowWeb/images/indicator.gif">
          <a:extLst>
            <a:ext uri="{FF2B5EF4-FFF2-40B4-BE49-F238E27FC236}">
              <a16:creationId xmlns:a16="http://schemas.microsoft.com/office/drawing/2014/main" id="{CF4D9B27-B49F-42E9-A68D-8F5277E9172F}"/>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539</xdr:row>
      <xdr:rowOff>0</xdr:rowOff>
    </xdr:from>
    <xdr:ext cx="152400" cy="152400"/>
    <xdr:pic>
      <xdr:nvPicPr>
        <xdr:cNvPr id="244" name="Immagine 243" descr="http://demaco.consob/ArchiflowWeb/images/indicator.gif">
          <a:extLst>
            <a:ext uri="{FF2B5EF4-FFF2-40B4-BE49-F238E27FC236}">
              <a16:creationId xmlns:a16="http://schemas.microsoft.com/office/drawing/2014/main" id="{77080F91-24B1-457F-A365-FA0944A760E7}"/>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539</xdr:row>
      <xdr:rowOff>0</xdr:rowOff>
    </xdr:from>
    <xdr:ext cx="152400" cy="152400"/>
    <xdr:pic>
      <xdr:nvPicPr>
        <xdr:cNvPr id="245" name="Immagine 244" descr="http://demaco.consob/ArchiflowWeb/images/indicator.gif">
          <a:extLst>
            <a:ext uri="{FF2B5EF4-FFF2-40B4-BE49-F238E27FC236}">
              <a16:creationId xmlns:a16="http://schemas.microsoft.com/office/drawing/2014/main" id="{F98AF8AD-91F1-4724-B7A0-1792DFCB9638}"/>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539</xdr:row>
      <xdr:rowOff>0</xdr:rowOff>
    </xdr:from>
    <xdr:ext cx="152400" cy="152400"/>
    <xdr:pic>
      <xdr:nvPicPr>
        <xdr:cNvPr id="246" name="Immagine 245" descr="http://demaco.consob/ArchiflowWeb/images/indicator.gif">
          <a:extLst>
            <a:ext uri="{FF2B5EF4-FFF2-40B4-BE49-F238E27FC236}">
              <a16:creationId xmlns:a16="http://schemas.microsoft.com/office/drawing/2014/main" id="{C3F55EF1-B843-4670-8D48-64E848154776}"/>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539</xdr:row>
      <xdr:rowOff>0</xdr:rowOff>
    </xdr:from>
    <xdr:ext cx="152400" cy="152400"/>
    <xdr:pic>
      <xdr:nvPicPr>
        <xdr:cNvPr id="247" name="Immagine 246" descr="http://demaco.consob/ArchiflowWeb/images/indicator.gif">
          <a:extLst>
            <a:ext uri="{FF2B5EF4-FFF2-40B4-BE49-F238E27FC236}">
              <a16:creationId xmlns:a16="http://schemas.microsoft.com/office/drawing/2014/main" id="{6456830D-B8FC-4384-8273-F7FF0BB00DAD}"/>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539</xdr:row>
      <xdr:rowOff>0</xdr:rowOff>
    </xdr:from>
    <xdr:ext cx="152400" cy="152400"/>
    <xdr:pic>
      <xdr:nvPicPr>
        <xdr:cNvPr id="248" name="Immagine 247" descr="http://demaco.consob/ArchiflowWeb/images/indicator.gif">
          <a:extLst>
            <a:ext uri="{FF2B5EF4-FFF2-40B4-BE49-F238E27FC236}">
              <a16:creationId xmlns:a16="http://schemas.microsoft.com/office/drawing/2014/main" id="{E2C82941-03EF-4D91-BABB-385ED7BBFFAE}"/>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539</xdr:row>
      <xdr:rowOff>0</xdr:rowOff>
    </xdr:from>
    <xdr:ext cx="152400" cy="152400"/>
    <xdr:pic>
      <xdr:nvPicPr>
        <xdr:cNvPr id="249" name="Immagine 248" descr="http://demaco.consob/ArchiflowWeb/images/indicator.gif">
          <a:extLst>
            <a:ext uri="{FF2B5EF4-FFF2-40B4-BE49-F238E27FC236}">
              <a16:creationId xmlns:a16="http://schemas.microsoft.com/office/drawing/2014/main" id="{85D2022E-C256-4B7D-AF4B-52B2BF0EC29B}"/>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539</xdr:row>
      <xdr:rowOff>0</xdr:rowOff>
    </xdr:from>
    <xdr:ext cx="152400" cy="152400"/>
    <xdr:pic>
      <xdr:nvPicPr>
        <xdr:cNvPr id="250" name="Immagine 249" descr="http://demaco.consob/ArchiflowWeb/images/indicator.gif">
          <a:extLst>
            <a:ext uri="{FF2B5EF4-FFF2-40B4-BE49-F238E27FC236}">
              <a16:creationId xmlns:a16="http://schemas.microsoft.com/office/drawing/2014/main" id="{291CC61A-8359-4182-9248-1A5835396A74}"/>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539</xdr:row>
      <xdr:rowOff>0</xdr:rowOff>
    </xdr:from>
    <xdr:ext cx="152400" cy="152400"/>
    <xdr:pic>
      <xdr:nvPicPr>
        <xdr:cNvPr id="251" name="Immagine 250" descr="http://demaco.consob/ArchiflowWeb/images/indicator.gif">
          <a:extLst>
            <a:ext uri="{FF2B5EF4-FFF2-40B4-BE49-F238E27FC236}">
              <a16:creationId xmlns:a16="http://schemas.microsoft.com/office/drawing/2014/main" id="{A11A40FE-34C1-4FC3-98DE-D47C25A1E442}"/>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539</xdr:row>
      <xdr:rowOff>0</xdr:rowOff>
    </xdr:from>
    <xdr:ext cx="152400" cy="152400"/>
    <xdr:pic>
      <xdr:nvPicPr>
        <xdr:cNvPr id="252" name="Immagine 251" descr="http://demaco.consob/ArchiflowWeb/images/indicator.gif">
          <a:extLst>
            <a:ext uri="{FF2B5EF4-FFF2-40B4-BE49-F238E27FC236}">
              <a16:creationId xmlns:a16="http://schemas.microsoft.com/office/drawing/2014/main" id="{F75A8D01-7BDE-4A95-B747-E895BA7933FE}"/>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539</xdr:row>
      <xdr:rowOff>0</xdr:rowOff>
    </xdr:from>
    <xdr:ext cx="152400" cy="152400"/>
    <xdr:pic>
      <xdr:nvPicPr>
        <xdr:cNvPr id="253" name="Immagine 252" descr="http://demaco.consob/ArchiflowWeb/images/indicator.gif">
          <a:extLst>
            <a:ext uri="{FF2B5EF4-FFF2-40B4-BE49-F238E27FC236}">
              <a16:creationId xmlns:a16="http://schemas.microsoft.com/office/drawing/2014/main" id="{CE00373E-10FF-442B-BAB2-C9750EA7DBB8}"/>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539</xdr:row>
      <xdr:rowOff>0</xdr:rowOff>
    </xdr:from>
    <xdr:ext cx="152400" cy="152400"/>
    <xdr:pic>
      <xdr:nvPicPr>
        <xdr:cNvPr id="254" name="Immagine 253" descr="http://demaco.consob/ArchiflowWeb/images/indicator.gif">
          <a:extLst>
            <a:ext uri="{FF2B5EF4-FFF2-40B4-BE49-F238E27FC236}">
              <a16:creationId xmlns:a16="http://schemas.microsoft.com/office/drawing/2014/main" id="{AC21EC9A-D1A8-43FE-8633-37FD27FDEB57}"/>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539</xdr:row>
      <xdr:rowOff>0</xdr:rowOff>
    </xdr:from>
    <xdr:ext cx="152400" cy="152400"/>
    <xdr:pic>
      <xdr:nvPicPr>
        <xdr:cNvPr id="255" name="Immagine 254" descr="http://demaco.consob/ArchiflowWeb/images/indicator.gif">
          <a:extLst>
            <a:ext uri="{FF2B5EF4-FFF2-40B4-BE49-F238E27FC236}">
              <a16:creationId xmlns:a16="http://schemas.microsoft.com/office/drawing/2014/main" id="{C9758BC5-5135-4729-990C-72CC4E1BCE41}"/>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539</xdr:row>
      <xdr:rowOff>0</xdr:rowOff>
    </xdr:from>
    <xdr:ext cx="152400" cy="152400"/>
    <xdr:pic>
      <xdr:nvPicPr>
        <xdr:cNvPr id="256" name="Immagine 255" descr="http://demaco.consob/ArchiflowWeb/images/indicator.gif">
          <a:extLst>
            <a:ext uri="{FF2B5EF4-FFF2-40B4-BE49-F238E27FC236}">
              <a16:creationId xmlns:a16="http://schemas.microsoft.com/office/drawing/2014/main" id="{FD3D8816-FE16-4EC2-AE51-B22844FCF293}"/>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539</xdr:row>
      <xdr:rowOff>0</xdr:rowOff>
    </xdr:from>
    <xdr:ext cx="152400" cy="152400"/>
    <xdr:pic>
      <xdr:nvPicPr>
        <xdr:cNvPr id="257" name="Immagine 256" descr="http://demaco.consob/ArchiflowWeb/images/indicator.gif">
          <a:extLst>
            <a:ext uri="{FF2B5EF4-FFF2-40B4-BE49-F238E27FC236}">
              <a16:creationId xmlns:a16="http://schemas.microsoft.com/office/drawing/2014/main" id="{1CEAEB6A-3BC1-456B-8F74-ED6FEF6497DA}"/>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539</xdr:row>
      <xdr:rowOff>0</xdr:rowOff>
    </xdr:from>
    <xdr:ext cx="152400" cy="152400"/>
    <xdr:pic>
      <xdr:nvPicPr>
        <xdr:cNvPr id="258" name="Immagine 257" descr="http://demaco.consob/ArchiflowWeb/images/indicator.gif">
          <a:extLst>
            <a:ext uri="{FF2B5EF4-FFF2-40B4-BE49-F238E27FC236}">
              <a16:creationId xmlns:a16="http://schemas.microsoft.com/office/drawing/2014/main" id="{096F118E-5BDF-428B-B2CC-DF1567108431}"/>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539</xdr:row>
      <xdr:rowOff>0</xdr:rowOff>
    </xdr:from>
    <xdr:ext cx="152400" cy="152400"/>
    <xdr:pic>
      <xdr:nvPicPr>
        <xdr:cNvPr id="259" name="Immagine 258" descr="http://demaco.consob/ArchiflowWeb/images/indicator.gif">
          <a:extLst>
            <a:ext uri="{FF2B5EF4-FFF2-40B4-BE49-F238E27FC236}">
              <a16:creationId xmlns:a16="http://schemas.microsoft.com/office/drawing/2014/main" id="{BCB6ACC2-1750-4C27-8A03-4342C1C0D678}"/>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539</xdr:row>
      <xdr:rowOff>0</xdr:rowOff>
    </xdr:from>
    <xdr:ext cx="152400" cy="152400"/>
    <xdr:pic>
      <xdr:nvPicPr>
        <xdr:cNvPr id="260" name="Immagine 259" descr="http://demaco.consob/ArchiflowWeb/images/indicator.gif">
          <a:extLst>
            <a:ext uri="{FF2B5EF4-FFF2-40B4-BE49-F238E27FC236}">
              <a16:creationId xmlns:a16="http://schemas.microsoft.com/office/drawing/2014/main" id="{A0F6BD52-A298-4E73-9C6B-C4E9EEF9081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539</xdr:row>
      <xdr:rowOff>0</xdr:rowOff>
    </xdr:from>
    <xdr:ext cx="152400" cy="152400"/>
    <xdr:pic>
      <xdr:nvPicPr>
        <xdr:cNvPr id="261" name="Immagine 260" descr="http://demaco.consob/ArchiflowWeb/images/indicator.gif">
          <a:extLst>
            <a:ext uri="{FF2B5EF4-FFF2-40B4-BE49-F238E27FC236}">
              <a16:creationId xmlns:a16="http://schemas.microsoft.com/office/drawing/2014/main" id="{AFFC7E42-0FAB-4DA1-B92E-B7D4B4C14F86}"/>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539</xdr:row>
      <xdr:rowOff>0</xdr:rowOff>
    </xdr:from>
    <xdr:ext cx="152400" cy="152400"/>
    <xdr:pic>
      <xdr:nvPicPr>
        <xdr:cNvPr id="262" name="Immagine 261" descr="http://demaco.consob/ArchiflowWeb/images/indicator.gif">
          <a:extLst>
            <a:ext uri="{FF2B5EF4-FFF2-40B4-BE49-F238E27FC236}">
              <a16:creationId xmlns:a16="http://schemas.microsoft.com/office/drawing/2014/main" id="{7C6E7564-82F9-4891-88D6-27B6DD12D253}"/>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539</xdr:row>
      <xdr:rowOff>0</xdr:rowOff>
    </xdr:from>
    <xdr:ext cx="152400" cy="152400"/>
    <xdr:pic>
      <xdr:nvPicPr>
        <xdr:cNvPr id="263" name="Immagine 262" descr="http://demaco.consob/ArchiflowWeb/images/indicator.gif">
          <a:extLst>
            <a:ext uri="{FF2B5EF4-FFF2-40B4-BE49-F238E27FC236}">
              <a16:creationId xmlns:a16="http://schemas.microsoft.com/office/drawing/2014/main" id="{E7A1F704-BCE9-44BE-8102-6191F9799EAC}"/>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539</xdr:row>
      <xdr:rowOff>0</xdr:rowOff>
    </xdr:from>
    <xdr:ext cx="152400" cy="152400"/>
    <xdr:pic>
      <xdr:nvPicPr>
        <xdr:cNvPr id="264" name="Immagine 263" descr="http://demaco.consob/ArchiflowWeb/images/indicator.gif">
          <a:extLst>
            <a:ext uri="{FF2B5EF4-FFF2-40B4-BE49-F238E27FC236}">
              <a16:creationId xmlns:a16="http://schemas.microsoft.com/office/drawing/2014/main" id="{750EB59F-155C-410D-8232-99D60A70FD3E}"/>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539</xdr:row>
      <xdr:rowOff>0</xdr:rowOff>
    </xdr:from>
    <xdr:ext cx="152400" cy="152400"/>
    <xdr:pic>
      <xdr:nvPicPr>
        <xdr:cNvPr id="265" name="Immagine 264" descr="http://demaco.consob/ArchiflowWeb/images/indicator.gif">
          <a:extLst>
            <a:ext uri="{FF2B5EF4-FFF2-40B4-BE49-F238E27FC236}">
              <a16:creationId xmlns:a16="http://schemas.microsoft.com/office/drawing/2014/main" id="{85BD6F00-2AE6-46BA-8F3D-4D0F88116BA7}"/>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539</xdr:row>
      <xdr:rowOff>0</xdr:rowOff>
    </xdr:from>
    <xdr:ext cx="152400" cy="152400"/>
    <xdr:pic>
      <xdr:nvPicPr>
        <xdr:cNvPr id="266" name="Immagine 265" descr="http://demaco.consob/ArchiflowWeb/images/indicator.gif">
          <a:extLst>
            <a:ext uri="{FF2B5EF4-FFF2-40B4-BE49-F238E27FC236}">
              <a16:creationId xmlns:a16="http://schemas.microsoft.com/office/drawing/2014/main" id="{EF823CD7-519A-480C-B8A7-6B6862048FCE}"/>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539</xdr:row>
      <xdr:rowOff>0</xdr:rowOff>
    </xdr:from>
    <xdr:ext cx="152400" cy="152400"/>
    <xdr:pic>
      <xdr:nvPicPr>
        <xdr:cNvPr id="267" name="Immagine 266" descr="http://demaco.consob/ArchiflowWeb/images/indicator.gif">
          <a:extLst>
            <a:ext uri="{FF2B5EF4-FFF2-40B4-BE49-F238E27FC236}">
              <a16:creationId xmlns:a16="http://schemas.microsoft.com/office/drawing/2014/main" id="{CDCE82F2-76F5-4B04-A2BE-8965A3E92455}"/>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539</xdr:row>
      <xdr:rowOff>0</xdr:rowOff>
    </xdr:from>
    <xdr:ext cx="152400" cy="152400"/>
    <xdr:pic>
      <xdr:nvPicPr>
        <xdr:cNvPr id="268" name="Immagine 267" descr="http://demaco.consob/ArchiflowWeb/images/indicator.gif">
          <a:extLst>
            <a:ext uri="{FF2B5EF4-FFF2-40B4-BE49-F238E27FC236}">
              <a16:creationId xmlns:a16="http://schemas.microsoft.com/office/drawing/2014/main" id="{E618B199-B8FA-4B97-8160-2884E9FAA8C4}"/>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539</xdr:row>
      <xdr:rowOff>0</xdr:rowOff>
    </xdr:from>
    <xdr:ext cx="152400" cy="152400"/>
    <xdr:pic>
      <xdr:nvPicPr>
        <xdr:cNvPr id="269" name="Immagine 268" descr="http://demaco.consob/ArchiflowWeb/images/indicator.gif">
          <a:extLst>
            <a:ext uri="{FF2B5EF4-FFF2-40B4-BE49-F238E27FC236}">
              <a16:creationId xmlns:a16="http://schemas.microsoft.com/office/drawing/2014/main" id="{ADE92973-0CD2-4E64-AED3-DBD73743431D}"/>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539</xdr:row>
      <xdr:rowOff>0</xdr:rowOff>
    </xdr:from>
    <xdr:ext cx="152400" cy="152400"/>
    <xdr:pic>
      <xdr:nvPicPr>
        <xdr:cNvPr id="270" name="Immagine 269" descr="http://demaco.consob/ArchiflowWeb/images/indicator.gif">
          <a:extLst>
            <a:ext uri="{FF2B5EF4-FFF2-40B4-BE49-F238E27FC236}">
              <a16:creationId xmlns:a16="http://schemas.microsoft.com/office/drawing/2014/main" id="{4E165A63-E004-4B49-9892-1E1AF1EAA403}"/>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539</xdr:row>
      <xdr:rowOff>0</xdr:rowOff>
    </xdr:from>
    <xdr:ext cx="152400" cy="152400"/>
    <xdr:pic>
      <xdr:nvPicPr>
        <xdr:cNvPr id="271" name="Immagine 270" descr="http://demaco.consob/ArchiflowWeb/images/indicator.gif">
          <a:extLst>
            <a:ext uri="{FF2B5EF4-FFF2-40B4-BE49-F238E27FC236}">
              <a16:creationId xmlns:a16="http://schemas.microsoft.com/office/drawing/2014/main" id="{7F555CCF-5FC0-4331-94E5-AE128B6AA11E}"/>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539</xdr:row>
      <xdr:rowOff>0</xdr:rowOff>
    </xdr:from>
    <xdr:ext cx="152400" cy="152400"/>
    <xdr:pic>
      <xdr:nvPicPr>
        <xdr:cNvPr id="272" name="Immagine 271" descr="http://demaco.consob/ArchiflowWeb/images/indicator.gif">
          <a:extLst>
            <a:ext uri="{FF2B5EF4-FFF2-40B4-BE49-F238E27FC236}">
              <a16:creationId xmlns:a16="http://schemas.microsoft.com/office/drawing/2014/main" id="{E0999360-8BED-4E16-A40D-081BF3282078}"/>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539</xdr:row>
      <xdr:rowOff>0</xdr:rowOff>
    </xdr:from>
    <xdr:ext cx="152400" cy="152400"/>
    <xdr:pic>
      <xdr:nvPicPr>
        <xdr:cNvPr id="273" name="Immagine 272" descr="http://demaco.consob/ArchiflowWeb/images/indicator.gif">
          <a:extLst>
            <a:ext uri="{FF2B5EF4-FFF2-40B4-BE49-F238E27FC236}">
              <a16:creationId xmlns:a16="http://schemas.microsoft.com/office/drawing/2014/main" id="{DF930F5B-F9C5-4786-A84D-D3C581285663}"/>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539</xdr:row>
      <xdr:rowOff>0</xdr:rowOff>
    </xdr:from>
    <xdr:ext cx="152400" cy="152400"/>
    <xdr:pic>
      <xdr:nvPicPr>
        <xdr:cNvPr id="274" name="Immagine 273" descr="http://demaco.consob/ArchiflowWeb/images/indicator.gif">
          <a:extLst>
            <a:ext uri="{FF2B5EF4-FFF2-40B4-BE49-F238E27FC236}">
              <a16:creationId xmlns:a16="http://schemas.microsoft.com/office/drawing/2014/main" id="{A304FFF6-76A5-4DB0-A4DB-60EF930A2AFC}"/>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539</xdr:row>
      <xdr:rowOff>0</xdr:rowOff>
    </xdr:from>
    <xdr:ext cx="152400" cy="152400"/>
    <xdr:pic>
      <xdr:nvPicPr>
        <xdr:cNvPr id="275" name="Immagine 274" descr="http://demaco.consob/ArchiflowWeb/images/indicator.gif">
          <a:extLst>
            <a:ext uri="{FF2B5EF4-FFF2-40B4-BE49-F238E27FC236}">
              <a16:creationId xmlns:a16="http://schemas.microsoft.com/office/drawing/2014/main" id="{F5F6C677-9BDD-4BE3-925E-1D80C2E4B14E}"/>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539</xdr:row>
      <xdr:rowOff>0</xdr:rowOff>
    </xdr:from>
    <xdr:ext cx="152400" cy="152400"/>
    <xdr:pic>
      <xdr:nvPicPr>
        <xdr:cNvPr id="276" name="Immagine 275" descr="http://demaco.consob/ArchiflowWeb/images/indicator.gif">
          <a:extLst>
            <a:ext uri="{FF2B5EF4-FFF2-40B4-BE49-F238E27FC236}">
              <a16:creationId xmlns:a16="http://schemas.microsoft.com/office/drawing/2014/main" id="{CA5E843F-2FB2-4EC3-AA8A-031465A7C5AB}"/>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539</xdr:row>
      <xdr:rowOff>0</xdr:rowOff>
    </xdr:from>
    <xdr:ext cx="152400" cy="152400"/>
    <xdr:pic>
      <xdr:nvPicPr>
        <xdr:cNvPr id="277" name="Immagine 276" descr="http://demaco.consob/ArchiflowWeb/images/indicator.gif">
          <a:extLst>
            <a:ext uri="{FF2B5EF4-FFF2-40B4-BE49-F238E27FC236}">
              <a16:creationId xmlns:a16="http://schemas.microsoft.com/office/drawing/2014/main" id="{EA2C3F77-EDAD-49D8-BB88-FA9172BD8B2E}"/>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539</xdr:row>
      <xdr:rowOff>0</xdr:rowOff>
    </xdr:from>
    <xdr:ext cx="152400" cy="152400"/>
    <xdr:pic>
      <xdr:nvPicPr>
        <xdr:cNvPr id="278" name="Immagine 277" descr="http://demaco.consob/ArchiflowWeb/images/indicator.gif">
          <a:extLst>
            <a:ext uri="{FF2B5EF4-FFF2-40B4-BE49-F238E27FC236}">
              <a16:creationId xmlns:a16="http://schemas.microsoft.com/office/drawing/2014/main" id="{A622C55F-B60D-4FBF-850A-7A65A5C89455}"/>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539</xdr:row>
      <xdr:rowOff>0</xdr:rowOff>
    </xdr:from>
    <xdr:ext cx="152400" cy="152400"/>
    <xdr:pic>
      <xdr:nvPicPr>
        <xdr:cNvPr id="279" name="Immagine 278" descr="http://demaco.consob/ArchiflowWeb/images/indicator.gif">
          <a:extLst>
            <a:ext uri="{FF2B5EF4-FFF2-40B4-BE49-F238E27FC236}">
              <a16:creationId xmlns:a16="http://schemas.microsoft.com/office/drawing/2014/main" id="{C6C4797B-19F8-48C9-91B0-38C711B4F90F}"/>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539</xdr:row>
      <xdr:rowOff>0</xdr:rowOff>
    </xdr:from>
    <xdr:ext cx="152400" cy="152400"/>
    <xdr:pic>
      <xdr:nvPicPr>
        <xdr:cNvPr id="280" name="Immagine 279" descr="http://demaco.consob/ArchiflowWeb/images/indicator.gif">
          <a:extLst>
            <a:ext uri="{FF2B5EF4-FFF2-40B4-BE49-F238E27FC236}">
              <a16:creationId xmlns:a16="http://schemas.microsoft.com/office/drawing/2014/main" id="{F764B96B-123D-49C5-A3C9-99F8C745A77A}"/>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539</xdr:row>
      <xdr:rowOff>0</xdr:rowOff>
    </xdr:from>
    <xdr:ext cx="152400" cy="152400"/>
    <xdr:pic>
      <xdr:nvPicPr>
        <xdr:cNvPr id="281" name="Immagine 280" descr="http://demaco.consob/ArchiflowWeb/images/indicator.gif">
          <a:extLst>
            <a:ext uri="{FF2B5EF4-FFF2-40B4-BE49-F238E27FC236}">
              <a16:creationId xmlns:a16="http://schemas.microsoft.com/office/drawing/2014/main" id="{A8A5B1CA-C2B9-467F-8FFF-F778AB31B249}"/>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539</xdr:row>
      <xdr:rowOff>0</xdr:rowOff>
    </xdr:from>
    <xdr:ext cx="152400" cy="152400"/>
    <xdr:pic>
      <xdr:nvPicPr>
        <xdr:cNvPr id="282" name="Immagine 281" descr="http://demaco.consob/ArchiflowWeb/images/indicator.gif">
          <a:extLst>
            <a:ext uri="{FF2B5EF4-FFF2-40B4-BE49-F238E27FC236}">
              <a16:creationId xmlns:a16="http://schemas.microsoft.com/office/drawing/2014/main" id="{060BAB7B-90AC-456F-A1B2-DDC2A286C79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539</xdr:row>
      <xdr:rowOff>0</xdr:rowOff>
    </xdr:from>
    <xdr:ext cx="152400" cy="152400"/>
    <xdr:pic>
      <xdr:nvPicPr>
        <xdr:cNvPr id="283" name="Immagine 282" descr="http://demaco.consob/ArchiflowWeb/images/indicator.gif">
          <a:extLst>
            <a:ext uri="{FF2B5EF4-FFF2-40B4-BE49-F238E27FC236}">
              <a16:creationId xmlns:a16="http://schemas.microsoft.com/office/drawing/2014/main" id="{A89D8349-D2D6-43F8-AA6C-06A7942A451F}"/>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539</xdr:row>
      <xdr:rowOff>0</xdr:rowOff>
    </xdr:from>
    <xdr:ext cx="152400" cy="152400"/>
    <xdr:pic>
      <xdr:nvPicPr>
        <xdr:cNvPr id="284" name="Immagine 283" descr="http://demaco.consob/ArchiflowWeb/images/indicator.gif">
          <a:extLst>
            <a:ext uri="{FF2B5EF4-FFF2-40B4-BE49-F238E27FC236}">
              <a16:creationId xmlns:a16="http://schemas.microsoft.com/office/drawing/2014/main" id="{F086974C-F809-426E-8424-7D158BF797A5}"/>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539</xdr:row>
      <xdr:rowOff>0</xdr:rowOff>
    </xdr:from>
    <xdr:ext cx="152400" cy="152400"/>
    <xdr:pic>
      <xdr:nvPicPr>
        <xdr:cNvPr id="285" name="Immagine 284" descr="http://demaco.consob/ArchiflowWeb/images/indicator.gif">
          <a:extLst>
            <a:ext uri="{FF2B5EF4-FFF2-40B4-BE49-F238E27FC236}">
              <a16:creationId xmlns:a16="http://schemas.microsoft.com/office/drawing/2014/main" id="{E34E47B5-5D9A-457C-835B-389F2187BAF2}"/>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539</xdr:row>
      <xdr:rowOff>0</xdr:rowOff>
    </xdr:from>
    <xdr:ext cx="152400" cy="152400"/>
    <xdr:pic>
      <xdr:nvPicPr>
        <xdr:cNvPr id="286" name="Immagine 285" descr="http://demaco.consob/ArchiflowWeb/images/indicator.gif">
          <a:extLst>
            <a:ext uri="{FF2B5EF4-FFF2-40B4-BE49-F238E27FC236}">
              <a16:creationId xmlns:a16="http://schemas.microsoft.com/office/drawing/2014/main" id="{C5083628-540A-422F-AE76-51D8983AC92A}"/>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539</xdr:row>
      <xdr:rowOff>0</xdr:rowOff>
    </xdr:from>
    <xdr:ext cx="152400" cy="152400"/>
    <xdr:pic>
      <xdr:nvPicPr>
        <xdr:cNvPr id="287" name="Immagine 286" descr="http://demaco.consob/ArchiflowWeb/images/indicator.gif">
          <a:extLst>
            <a:ext uri="{FF2B5EF4-FFF2-40B4-BE49-F238E27FC236}">
              <a16:creationId xmlns:a16="http://schemas.microsoft.com/office/drawing/2014/main" id="{30D141EE-FFB5-42E5-80D1-FDF27C65A308}"/>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539</xdr:row>
      <xdr:rowOff>0</xdr:rowOff>
    </xdr:from>
    <xdr:ext cx="152400" cy="152400"/>
    <xdr:pic>
      <xdr:nvPicPr>
        <xdr:cNvPr id="288" name="Immagine 287" descr="http://demaco.consob/ArchiflowWeb/images/indicator.gif">
          <a:extLst>
            <a:ext uri="{FF2B5EF4-FFF2-40B4-BE49-F238E27FC236}">
              <a16:creationId xmlns:a16="http://schemas.microsoft.com/office/drawing/2014/main" id="{0239A321-2E19-436B-8A22-55DAF62016D3}"/>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539</xdr:row>
      <xdr:rowOff>0</xdr:rowOff>
    </xdr:from>
    <xdr:ext cx="152400" cy="152400"/>
    <xdr:pic>
      <xdr:nvPicPr>
        <xdr:cNvPr id="289" name="Immagine 288" descr="http://demaco.consob/ArchiflowWeb/images/indicator.gif">
          <a:extLst>
            <a:ext uri="{FF2B5EF4-FFF2-40B4-BE49-F238E27FC236}">
              <a16:creationId xmlns:a16="http://schemas.microsoft.com/office/drawing/2014/main" id="{D70FB329-66CA-4A66-979C-EAC7F137ED1B}"/>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539</xdr:row>
      <xdr:rowOff>0</xdr:rowOff>
    </xdr:from>
    <xdr:ext cx="152400" cy="152400"/>
    <xdr:pic>
      <xdr:nvPicPr>
        <xdr:cNvPr id="290" name="Immagine 289" descr="http://demaco.consob/ArchiflowWeb/images/indicator.gif">
          <a:extLst>
            <a:ext uri="{FF2B5EF4-FFF2-40B4-BE49-F238E27FC236}">
              <a16:creationId xmlns:a16="http://schemas.microsoft.com/office/drawing/2014/main" id="{7BCCE1FC-6551-4F30-AC47-8296757EC043}"/>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539</xdr:row>
      <xdr:rowOff>0</xdr:rowOff>
    </xdr:from>
    <xdr:ext cx="152400" cy="152400"/>
    <xdr:pic>
      <xdr:nvPicPr>
        <xdr:cNvPr id="291" name="Immagine 290" descr="http://demaco.consob/ArchiflowWeb/images/indicator.gif">
          <a:extLst>
            <a:ext uri="{FF2B5EF4-FFF2-40B4-BE49-F238E27FC236}">
              <a16:creationId xmlns:a16="http://schemas.microsoft.com/office/drawing/2014/main" id="{837602C8-DB33-4728-A5CC-5B64D43CA069}"/>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539</xdr:row>
      <xdr:rowOff>0</xdr:rowOff>
    </xdr:from>
    <xdr:ext cx="152400" cy="152400"/>
    <xdr:pic>
      <xdr:nvPicPr>
        <xdr:cNvPr id="292" name="Immagine 291" descr="http://demaco.consob/ArchiflowWeb/images/indicator.gif">
          <a:extLst>
            <a:ext uri="{FF2B5EF4-FFF2-40B4-BE49-F238E27FC236}">
              <a16:creationId xmlns:a16="http://schemas.microsoft.com/office/drawing/2014/main" id="{607C8624-5345-4463-95E8-C7309F46AC05}"/>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539</xdr:row>
      <xdr:rowOff>0</xdr:rowOff>
    </xdr:from>
    <xdr:ext cx="152400" cy="152400"/>
    <xdr:pic>
      <xdr:nvPicPr>
        <xdr:cNvPr id="293" name="Immagine 292" descr="http://demaco.consob/ArchiflowWeb/images/indicator.gif">
          <a:extLst>
            <a:ext uri="{FF2B5EF4-FFF2-40B4-BE49-F238E27FC236}">
              <a16:creationId xmlns:a16="http://schemas.microsoft.com/office/drawing/2014/main" id="{594230E0-97C6-4AC4-987D-949C2C536E5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539</xdr:row>
      <xdr:rowOff>0</xdr:rowOff>
    </xdr:from>
    <xdr:ext cx="152400" cy="152400"/>
    <xdr:pic>
      <xdr:nvPicPr>
        <xdr:cNvPr id="294" name="Immagine 293" descr="http://demaco.consob/ArchiflowWeb/images/indicator.gif">
          <a:extLst>
            <a:ext uri="{FF2B5EF4-FFF2-40B4-BE49-F238E27FC236}">
              <a16:creationId xmlns:a16="http://schemas.microsoft.com/office/drawing/2014/main" id="{3D46909A-19B9-4917-8C3B-B357DEACEFBB}"/>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539</xdr:row>
      <xdr:rowOff>0</xdr:rowOff>
    </xdr:from>
    <xdr:ext cx="152400" cy="152400"/>
    <xdr:pic>
      <xdr:nvPicPr>
        <xdr:cNvPr id="295" name="Immagine 294" descr="http://demaco.consob/ArchiflowWeb/images/indicator.gif">
          <a:extLst>
            <a:ext uri="{FF2B5EF4-FFF2-40B4-BE49-F238E27FC236}">
              <a16:creationId xmlns:a16="http://schemas.microsoft.com/office/drawing/2014/main" id="{D0254803-77F4-4343-AF34-DF61725716BB}"/>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539</xdr:row>
      <xdr:rowOff>0</xdr:rowOff>
    </xdr:from>
    <xdr:ext cx="152400" cy="152400"/>
    <xdr:pic>
      <xdr:nvPicPr>
        <xdr:cNvPr id="296" name="Immagine 295" descr="http://demaco.consob/ArchiflowWeb/images/indicator.gif">
          <a:extLst>
            <a:ext uri="{FF2B5EF4-FFF2-40B4-BE49-F238E27FC236}">
              <a16:creationId xmlns:a16="http://schemas.microsoft.com/office/drawing/2014/main" id="{686C2C37-E10F-4A37-8C72-126534CCC93E}"/>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539</xdr:row>
      <xdr:rowOff>0</xdr:rowOff>
    </xdr:from>
    <xdr:ext cx="152400" cy="152400"/>
    <xdr:pic>
      <xdr:nvPicPr>
        <xdr:cNvPr id="297" name="Immagine 296" descr="http://demaco.consob/ArchiflowWeb/images/indicator.gif">
          <a:extLst>
            <a:ext uri="{FF2B5EF4-FFF2-40B4-BE49-F238E27FC236}">
              <a16:creationId xmlns:a16="http://schemas.microsoft.com/office/drawing/2014/main" id="{E70537BE-F060-452B-9163-43BD92833211}"/>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539</xdr:row>
      <xdr:rowOff>0</xdr:rowOff>
    </xdr:from>
    <xdr:ext cx="152400" cy="152400"/>
    <xdr:pic>
      <xdr:nvPicPr>
        <xdr:cNvPr id="298" name="Immagine 297" descr="http://demaco.consob/ArchiflowWeb/images/indicator.gif">
          <a:extLst>
            <a:ext uri="{FF2B5EF4-FFF2-40B4-BE49-F238E27FC236}">
              <a16:creationId xmlns:a16="http://schemas.microsoft.com/office/drawing/2014/main" id="{7D947491-A1F1-4D7F-A8DF-A691EC56A00F}"/>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539</xdr:row>
      <xdr:rowOff>0</xdr:rowOff>
    </xdr:from>
    <xdr:ext cx="152400" cy="152400"/>
    <xdr:pic>
      <xdr:nvPicPr>
        <xdr:cNvPr id="299" name="Immagine 298" descr="http://demaco.consob/ArchiflowWeb/images/indicator.gif">
          <a:extLst>
            <a:ext uri="{FF2B5EF4-FFF2-40B4-BE49-F238E27FC236}">
              <a16:creationId xmlns:a16="http://schemas.microsoft.com/office/drawing/2014/main" id="{779B83C0-E904-49B5-90B0-FFF3E7CB452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539</xdr:row>
      <xdr:rowOff>0</xdr:rowOff>
    </xdr:from>
    <xdr:ext cx="152400" cy="152400"/>
    <xdr:pic>
      <xdr:nvPicPr>
        <xdr:cNvPr id="300" name="Immagine 299" descr="http://demaco.consob/ArchiflowWeb/images/indicator.gif">
          <a:extLst>
            <a:ext uri="{FF2B5EF4-FFF2-40B4-BE49-F238E27FC236}">
              <a16:creationId xmlns:a16="http://schemas.microsoft.com/office/drawing/2014/main" id="{7D3FF564-22C5-4FFA-B2E5-7B905052B31A}"/>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539</xdr:row>
      <xdr:rowOff>0</xdr:rowOff>
    </xdr:from>
    <xdr:ext cx="152400" cy="152400"/>
    <xdr:pic>
      <xdr:nvPicPr>
        <xdr:cNvPr id="301" name="Immagine 300" descr="http://demaco.consob/ArchiflowWeb/images/indicator.gif">
          <a:extLst>
            <a:ext uri="{FF2B5EF4-FFF2-40B4-BE49-F238E27FC236}">
              <a16:creationId xmlns:a16="http://schemas.microsoft.com/office/drawing/2014/main" id="{FAB68F52-672E-4A23-A476-3DB2F66DCE1F}"/>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539</xdr:row>
      <xdr:rowOff>0</xdr:rowOff>
    </xdr:from>
    <xdr:ext cx="152400" cy="152400"/>
    <xdr:pic>
      <xdr:nvPicPr>
        <xdr:cNvPr id="302" name="Immagine 301" descr="http://demaco.consob/ArchiflowWeb/images/indicator.gif">
          <a:extLst>
            <a:ext uri="{FF2B5EF4-FFF2-40B4-BE49-F238E27FC236}">
              <a16:creationId xmlns:a16="http://schemas.microsoft.com/office/drawing/2014/main" id="{5BF9FC18-CACC-4784-BCC3-0F8823F81E5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539</xdr:row>
      <xdr:rowOff>0</xdr:rowOff>
    </xdr:from>
    <xdr:ext cx="152400" cy="152400"/>
    <xdr:pic>
      <xdr:nvPicPr>
        <xdr:cNvPr id="303" name="Immagine 302" descr="http://demaco.consob/ArchiflowWeb/images/indicator.gif">
          <a:extLst>
            <a:ext uri="{FF2B5EF4-FFF2-40B4-BE49-F238E27FC236}">
              <a16:creationId xmlns:a16="http://schemas.microsoft.com/office/drawing/2014/main" id="{6A084190-BB2D-409A-AE7B-B8C171C66A2D}"/>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539</xdr:row>
      <xdr:rowOff>0</xdr:rowOff>
    </xdr:from>
    <xdr:ext cx="152400" cy="152400"/>
    <xdr:pic>
      <xdr:nvPicPr>
        <xdr:cNvPr id="304" name="Immagine 303" descr="http://demaco.consob/ArchiflowWeb/images/indicator.gif">
          <a:extLst>
            <a:ext uri="{FF2B5EF4-FFF2-40B4-BE49-F238E27FC236}">
              <a16:creationId xmlns:a16="http://schemas.microsoft.com/office/drawing/2014/main" id="{8D745BF7-EFFD-4A5F-B0A5-4A43307A5AEE}"/>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539</xdr:row>
      <xdr:rowOff>0</xdr:rowOff>
    </xdr:from>
    <xdr:ext cx="152400" cy="152400"/>
    <xdr:pic>
      <xdr:nvPicPr>
        <xdr:cNvPr id="305" name="Immagine 304" descr="http://demaco.consob/ArchiflowWeb/images/indicator.gif">
          <a:extLst>
            <a:ext uri="{FF2B5EF4-FFF2-40B4-BE49-F238E27FC236}">
              <a16:creationId xmlns:a16="http://schemas.microsoft.com/office/drawing/2014/main" id="{22B72387-73B8-452E-B798-A67BF5A3F2B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539</xdr:row>
      <xdr:rowOff>0</xdr:rowOff>
    </xdr:from>
    <xdr:ext cx="152400" cy="152400"/>
    <xdr:pic>
      <xdr:nvPicPr>
        <xdr:cNvPr id="306" name="Immagine 305" descr="http://demaco.consob/ArchiflowWeb/images/indicator.gif">
          <a:extLst>
            <a:ext uri="{FF2B5EF4-FFF2-40B4-BE49-F238E27FC236}">
              <a16:creationId xmlns:a16="http://schemas.microsoft.com/office/drawing/2014/main" id="{73951EB6-751F-4EF1-B7A3-C353E4FD4D34}"/>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539</xdr:row>
      <xdr:rowOff>0</xdr:rowOff>
    </xdr:from>
    <xdr:ext cx="152400" cy="152400"/>
    <xdr:pic>
      <xdr:nvPicPr>
        <xdr:cNvPr id="307" name="Immagine 306" descr="http://demaco.consob/ArchiflowWeb/images/indicator.gif">
          <a:extLst>
            <a:ext uri="{FF2B5EF4-FFF2-40B4-BE49-F238E27FC236}">
              <a16:creationId xmlns:a16="http://schemas.microsoft.com/office/drawing/2014/main" id="{6E0C700E-F49D-4854-8777-74EC67EB84BB}"/>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539</xdr:row>
      <xdr:rowOff>0</xdr:rowOff>
    </xdr:from>
    <xdr:ext cx="152400" cy="152400"/>
    <xdr:pic>
      <xdr:nvPicPr>
        <xdr:cNvPr id="308" name="Immagine 307" descr="http://demaco.consob/ArchiflowWeb/images/indicator.gif">
          <a:extLst>
            <a:ext uri="{FF2B5EF4-FFF2-40B4-BE49-F238E27FC236}">
              <a16:creationId xmlns:a16="http://schemas.microsoft.com/office/drawing/2014/main" id="{99B5FD97-3B22-44F8-B7FB-8C86B932B11C}"/>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539</xdr:row>
      <xdr:rowOff>0</xdr:rowOff>
    </xdr:from>
    <xdr:ext cx="152400" cy="152400"/>
    <xdr:pic>
      <xdr:nvPicPr>
        <xdr:cNvPr id="309" name="Immagine 308" descr="http://demaco.consob/ArchiflowWeb/images/indicator.gif">
          <a:extLst>
            <a:ext uri="{FF2B5EF4-FFF2-40B4-BE49-F238E27FC236}">
              <a16:creationId xmlns:a16="http://schemas.microsoft.com/office/drawing/2014/main" id="{2983866E-602A-4EC5-AF33-F68F5FE93BCF}"/>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539</xdr:row>
      <xdr:rowOff>0</xdr:rowOff>
    </xdr:from>
    <xdr:ext cx="152400" cy="152400"/>
    <xdr:pic>
      <xdr:nvPicPr>
        <xdr:cNvPr id="310" name="Immagine 309" descr="http://demaco.consob/ArchiflowWeb/images/indicator.gif">
          <a:extLst>
            <a:ext uri="{FF2B5EF4-FFF2-40B4-BE49-F238E27FC236}">
              <a16:creationId xmlns:a16="http://schemas.microsoft.com/office/drawing/2014/main" id="{DCB66744-4A20-4489-A914-18690A9E7629}"/>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539</xdr:row>
      <xdr:rowOff>0</xdr:rowOff>
    </xdr:from>
    <xdr:ext cx="152400" cy="152400"/>
    <xdr:pic>
      <xdr:nvPicPr>
        <xdr:cNvPr id="311" name="Immagine 310" descr="http://demaco.consob/ArchiflowWeb/images/indicator.gif">
          <a:extLst>
            <a:ext uri="{FF2B5EF4-FFF2-40B4-BE49-F238E27FC236}">
              <a16:creationId xmlns:a16="http://schemas.microsoft.com/office/drawing/2014/main" id="{71C9C2D3-BFD1-46E1-BAF1-9B512FCF12B6}"/>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539</xdr:row>
      <xdr:rowOff>0</xdr:rowOff>
    </xdr:from>
    <xdr:ext cx="152400" cy="152400"/>
    <xdr:pic>
      <xdr:nvPicPr>
        <xdr:cNvPr id="312" name="Immagine 311" descr="http://demaco.consob/ArchiflowWeb/images/indicator.gif">
          <a:extLst>
            <a:ext uri="{FF2B5EF4-FFF2-40B4-BE49-F238E27FC236}">
              <a16:creationId xmlns:a16="http://schemas.microsoft.com/office/drawing/2014/main" id="{AD70C4DE-78FE-4543-8250-10CD484378DF}"/>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539</xdr:row>
      <xdr:rowOff>0</xdr:rowOff>
    </xdr:from>
    <xdr:ext cx="152400" cy="152400"/>
    <xdr:pic>
      <xdr:nvPicPr>
        <xdr:cNvPr id="313" name="Immagine 312" descr="http://demaco.consob/ArchiflowWeb/images/indicator.gif">
          <a:extLst>
            <a:ext uri="{FF2B5EF4-FFF2-40B4-BE49-F238E27FC236}">
              <a16:creationId xmlns:a16="http://schemas.microsoft.com/office/drawing/2014/main" id="{5B992EFC-1E89-47C3-9EA4-BF5E5A35F86B}"/>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539</xdr:row>
      <xdr:rowOff>0</xdr:rowOff>
    </xdr:from>
    <xdr:ext cx="152400" cy="152400"/>
    <xdr:pic>
      <xdr:nvPicPr>
        <xdr:cNvPr id="314" name="Immagine 313" descr="http://demaco.consob/ArchiflowWeb/images/indicator.gif">
          <a:extLst>
            <a:ext uri="{FF2B5EF4-FFF2-40B4-BE49-F238E27FC236}">
              <a16:creationId xmlns:a16="http://schemas.microsoft.com/office/drawing/2014/main" id="{B8272CA4-8978-456B-874D-D6C22B25FA17}"/>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539</xdr:row>
      <xdr:rowOff>0</xdr:rowOff>
    </xdr:from>
    <xdr:ext cx="152400" cy="152400"/>
    <xdr:pic>
      <xdr:nvPicPr>
        <xdr:cNvPr id="315" name="Immagine 314" descr="http://demaco.consob/ArchiflowWeb/images/indicator.gif">
          <a:extLst>
            <a:ext uri="{FF2B5EF4-FFF2-40B4-BE49-F238E27FC236}">
              <a16:creationId xmlns:a16="http://schemas.microsoft.com/office/drawing/2014/main" id="{4A4561F1-C4E0-4977-9E08-6B6BE08DEB91}"/>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539</xdr:row>
      <xdr:rowOff>0</xdr:rowOff>
    </xdr:from>
    <xdr:ext cx="152400" cy="152400"/>
    <xdr:pic>
      <xdr:nvPicPr>
        <xdr:cNvPr id="316" name="Immagine 315" descr="http://demaco.consob/ArchiflowWeb/images/indicator.gif">
          <a:extLst>
            <a:ext uri="{FF2B5EF4-FFF2-40B4-BE49-F238E27FC236}">
              <a16:creationId xmlns:a16="http://schemas.microsoft.com/office/drawing/2014/main" id="{5A97AF54-4A36-4E9C-878E-7D4CC61BD917}"/>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539</xdr:row>
      <xdr:rowOff>0</xdr:rowOff>
    </xdr:from>
    <xdr:ext cx="152400" cy="152400"/>
    <xdr:pic>
      <xdr:nvPicPr>
        <xdr:cNvPr id="317" name="Immagine 316" descr="http://demaco.consob/ArchiflowWeb/images/indicator.gif">
          <a:extLst>
            <a:ext uri="{FF2B5EF4-FFF2-40B4-BE49-F238E27FC236}">
              <a16:creationId xmlns:a16="http://schemas.microsoft.com/office/drawing/2014/main" id="{0071FA64-9C26-4046-B095-9B5AFB69A694}"/>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539</xdr:row>
      <xdr:rowOff>0</xdr:rowOff>
    </xdr:from>
    <xdr:ext cx="152400" cy="152400"/>
    <xdr:pic>
      <xdr:nvPicPr>
        <xdr:cNvPr id="318" name="Immagine 317" descr="http://demaco.consob/ArchiflowWeb/images/indicator.gif">
          <a:extLst>
            <a:ext uri="{FF2B5EF4-FFF2-40B4-BE49-F238E27FC236}">
              <a16:creationId xmlns:a16="http://schemas.microsoft.com/office/drawing/2014/main" id="{88B824B7-A54E-4191-B498-35A1A46F77C7}"/>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539</xdr:row>
      <xdr:rowOff>0</xdr:rowOff>
    </xdr:from>
    <xdr:ext cx="152400" cy="152400"/>
    <xdr:pic>
      <xdr:nvPicPr>
        <xdr:cNvPr id="319" name="Immagine 318" descr="http://demaco.consob/ArchiflowWeb/images/indicator.gif">
          <a:extLst>
            <a:ext uri="{FF2B5EF4-FFF2-40B4-BE49-F238E27FC236}">
              <a16:creationId xmlns:a16="http://schemas.microsoft.com/office/drawing/2014/main" id="{E3E182E7-D4C9-44C0-8F7B-201AF8C2F36D}"/>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539</xdr:row>
      <xdr:rowOff>0</xdr:rowOff>
    </xdr:from>
    <xdr:ext cx="152400" cy="152400"/>
    <xdr:pic>
      <xdr:nvPicPr>
        <xdr:cNvPr id="320" name="Immagine 319" descr="http://demaco.consob/ArchiflowWeb/images/indicator.gif">
          <a:extLst>
            <a:ext uri="{FF2B5EF4-FFF2-40B4-BE49-F238E27FC236}">
              <a16:creationId xmlns:a16="http://schemas.microsoft.com/office/drawing/2014/main" id="{138D9755-E4D2-4E5A-9D21-C9F317D53C17}"/>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539</xdr:row>
      <xdr:rowOff>0</xdr:rowOff>
    </xdr:from>
    <xdr:ext cx="152400" cy="152400"/>
    <xdr:pic>
      <xdr:nvPicPr>
        <xdr:cNvPr id="321" name="Immagine 320" descr="http://demaco.consob/ArchiflowWeb/images/indicator.gif">
          <a:extLst>
            <a:ext uri="{FF2B5EF4-FFF2-40B4-BE49-F238E27FC236}">
              <a16:creationId xmlns:a16="http://schemas.microsoft.com/office/drawing/2014/main" id="{29369662-8B86-4858-B773-9EC785D3234E}"/>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539</xdr:row>
      <xdr:rowOff>0</xdr:rowOff>
    </xdr:from>
    <xdr:ext cx="152400" cy="152400"/>
    <xdr:pic>
      <xdr:nvPicPr>
        <xdr:cNvPr id="322" name="Immagine 321" descr="http://demaco.consob/ArchiflowWeb/images/indicator.gif">
          <a:extLst>
            <a:ext uri="{FF2B5EF4-FFF2-40B4-BE49-F238E27FC236}">
              <a16:creationId xmlns:a16="http://schemas.microsoft.com/office/drawing/2014/main" id="{CC589316-AB92-419F-9CCE-EC0BAF5E9B4C}"/>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539</xdr:row>
      <xdr:rowOff>0</xdr:rowOff>
    </xdr:from>
    <xdr:ext cx="152400" cy="152400"/>
    <xdr:pic>
      <xdr:nvPicPr>
        <xdr:cNvPr id="323" name="Immagine 322" descr="http://demaco.consob/ArchiflowWeb/images/indicator.gif">
          <a:extLst>
            <a:ext uri="{FF2B5EF4-FFF2-40B4-BE49-F238E27FC236}">
              <a16:creationId xmlns:a16="http://schemas.microsoft.com/office/drawing/2014/main" id="{0E4142F9-1817-4AD2-8DD4-ECDA707E4864}"/>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539</xdr:row>
      <xdr:rowOff>0</xdr:rowOff>
    </xdr:from>
    <xdr:ext cx="152400" cy="152400"/>
    <xdr:pic>
      <xdr:nvPicPr>
        <xdr:cNvPr id="324" name="Immagine 323" descr="http://demaco.consob/ArchiflowWeb/images/indicator.gif">
          <a:extLst>
            <a:ext uri="{FF2B5EF4-FFF2-40B4-BE49-F238E27FC236}">
              <a16:creationId xmlns:a16="http://schemas.microsoft.com/office/drawing/2014/main" id="{4271CBCB-FDDC-47F5-8964-06D2DA1B8695}"/>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539</xdr:row>
      <xdr:rowOff>0</xdr:rowOff>
    </xdr:from>
    <xdr:ext cx="152400" cy="152400"/>
    <xdr:pic>
      <xdr:nvPicPr>
        <xdr:cNvPr id="325" name="Immagine 324" descr="http://demaco.consob/ArchiflowWeb/images/indicator.gif">
          <a:extLst>
            <a:ext uri="{FF2B5EF4-FFF2-40B4-BE49-F238E27FC236}">
              <a16:creationId xmlns:a16="http://schemas.microsoft.com/office/drawing/2014/main" id="{E1CCE3ED-6258-43DB-A096-B9AFB0E19DB3}"/>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539</xdr:row>
      <xdr:rowOff>0</xdr:rowOff>
    </xdr:from>
    <xdr:ext cx="152400" cy="152400"/>
    <xdr:pic>
      <xdr:nvPicPr>
        <xdr:cNvPr id="326" name="Immagine 325" descr="http://demaco.consob/ArchiflowWeb/images/indicator.gif">
          <a:extLst>
            <a:ext uri="{FF2B5EF4-FFF2-40B4-BE49-F238E27FC236}">
              <a16:creationId xmlns:a16="http://schemas.microsoft.com/office/drawing/2014/main" id="{631B18BE-266C-4834-BAD5-15D0984678A9}"/>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539</xdr:row>
      <xdr:rowOff>0</xdr:rowOff>
    </xdr:from>
    <xdr:ext cx="152400" cy="152400"/>
    <xdr:pic>
      <xdr:nvPicPr>
        <xdr:cNvPr id="327" name="Immagine 326" descr="http://demaco.consob/ArchiflowWeb/images/indicator.gif">
          <a:extLst>
            <a:ext uri="{FF2B5EF4-FFF2-40B4-BE49-F238E27FC236}">
              <a16:creationId xmlns:a16="http://schemas.microsoft.com/office/drawing/2014/main" id="{1C252E2B-DC6F-4F7F-A24B-1900F5EEB9C3}"/>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539</xdr:row>
      <xdr:rowOff>0</xdr:rowOff>
    </xdr:from>
    <xdr:ext cx="152400" cy="152400"/>
    <xdr:pic>
      <xdr:nvPicPr>
        <xdr:cNvPr id="328" name="Immagine 327" descr="http://demaco.consob/ArchiflowWeb/images/indicator.gif">
          <a:extLst>
            <a:ext uri="{FF2B5EF4-FFF2-40B4-BE49-F238E27FC236}">
              <a16:creationId xmlns:a16="http://schemas.microsoft.com/office/drawing/2014/main" id="{7D466C2C-9D34-4279-A1BE-50F694140E93}"/>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539</xdr:row>
      <xdr:rowOff>0</xdr:rowOff>
    </xdr:from>
    <xdr:ext cx="152400" cy="152400"/>
    <xdr:pic>
      <xdr:nvPicPr>
        <xdr:cNvPr id="329" name="Immagine 328" descr="http://demaco.consob/ArchiflowWeb/images/indicator.gif">
          <a:extLst>
            <a:ext uri="{FF2B5EF4-FFF2-40B4-BE49-F238E27FC236}">
              <a16:creationId xmlns:a16="http://schemas.microsoft.com/office/drawing/2014/main" id="{C8EF860C-9037-4EC0-AA1F-4270121FE0EC}"/>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539</xdr:row>
      <xdr:rowOff>0</xdr:rowOff>
    </xdr:from>
    <xdr:ext cx="152400" cy="152400"/>
    <xdr:pic>
      <xdr:nvPicPr>
        <xdr:cNvPr id="330" name="Immagine 329" descr="http://demaco.consob/ArchiflowWeb/images/indicator.gif">
          <a:extLst>
            <a:ext uri="{FF2B5EF4-FFF2-40B4-BE49-F238E27FC236}">
              <a16:creationId xmlns:a16="http://schemas.microsoft.com/office/drawing/2014/main" id="{ABC0CC2A-6B47-4249-97E2-CAFA076532B2}"/>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539</xdr:row>
      <xdr:rowOff>0</xdr:rowOff>
    </xdr:from>
    <xdr:ext cx="152400" cy="152400"/>
    <xdr:pic>
      <xdr:nvPicPr>
        <xdr:cNvPr id="331" name="Immagine 330" descr="http://demaco.consob/ArchiflowWeb/images/indicator.gif">
          <a:extLst>
            <a:ext uri="{FF2B5EF4-FFF2-40B4-BE49-F238E27FC236}">
              <a16:creationId xmlns:a16="http://schemas.microsoft.com/office/drawing/2014/main" id="{D21A3E37-7FA1-40C1-9CAA-8E38DE14CEC7}"/>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539</xdr:row>
      <xdr:rowOff>0</xdr:rowOff>
    </xdr:from>
    <xdr:ext cx="152400" cy="152400"/>
    <xdr:pic>
      <xdr:nvPicPr>
        <xdr:cNvPr id="332" name="Immagine 331" descr="http://demaco.consob/ArchiflowWeb/images/indicator.gif">
          <a:extLst>
            <a:ext uri="{FF2B5EF4-FFF2-40B4-BE49-F238E27FC236}">
              <a16:creationId xmlns:a16="http://schemas.microsoft.com/office/drawing/2014/main" id="{3E4955DE-E1F9-4BDF-8157-B01621BBBC73}"/>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539</xdr:row>
      <xdr:rowOff>0</xdr:rowOff>
    </xdr:from>
    <xdr:ext cx="152400" cy="152400"/>
    <xdr:pic>
      <xdr:nvPicPr>
        <xdr:cNvPr id="333" name="Immagine 332" descr="http://demaco.consob/ArchiflowWeb/images/indicator.gif">
          <a:extLst>
            <a:ext uri="{FF2B5EF4-FFF2-40B4-BE49-F238E27FC236}">
              <a16:creationId xmlns:a16="http://schemas.microsoft.com/office/drawing/2014/main" id="{20F01B9F-8259-4CAD-A75E-55EB92C09BC3}"/>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539</xdr:row>
      <xdr:rowOff>0</xdr:rowOff>
    </xdr:from>
    <xdr:ext cx="152400" cy="152400"/>
    <xdr:pic>
      <xdr:nvPicPr>
        <xdr:cNvPr id="334" name="Immagine 333" descr="http://demaco.consob/ArchiflowWeb/images/indicator.gif">
          <a:extLst>
            <a:ext uri="{FF2B5EF4-FFF2-40B4-BE49-F238E27FC236}">
              <a16:creationId xmlns:a16="http://schemas.microsoft.com/office/drawing/2014/main" id="{A36DB4CA-F88D-4C90-B746-062C8CEAB881}"/>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539</xdr:row>
      <xdr:rowOff>0</xdr:rowOff>
    </xdr:from>
    <xdr:ext cx="152400" cy="152400"/>
    <xdr:pic>
      <xdr:nvPicPr>
        <xdr:cNvPr id="335" name="Immagine 334" descr="http://demaco.consob/ArchiflowWeb/images/indicator.gif">
          <a:extLst>
            <a:ext uri="{FF2B5EF4-FFF2-40B4-BE49-F238E27FC236}">
              <a16:creationId xmlns:a16="http://schemas.microsoft.com/office/drawing/2014/main" id="{E8304391-7E38-4852-8604-457F8880F3F1}"/>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539</xdr:row>
      <xdr:rowOff>0</xdr:rowOff>
    </xdr:from>
    <xdr:ext cx="152400" cy="152400"/>
    <xdr:pic>
      <xdr:nvPicPr>
        <xdr:cNvPr id="336" name="Immagine 335" descr="http://demaco.consob/ArchiflowWeb/images/indicator.gif">
          <a:extLst>
            <a:ext uri="{FF2B5EF4-FFF2-40B4-BE49-F238E27FC236}">
              <a16:creationId xmlns:a16="http://schemas.microsoft.com/office/drawing/2014/main" id="{49A624A3-5C3F-424B-BD20-5FE610FE7142}"/>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539</xdr:row>
      <xdr:rowOff>0</xdr:rowOff>
    </xdr:from>
    <xdr:ext cx="152400" cy="152400"/>
    <xdr:pic>
      <xdr:nvPicPr>
        <xdr:cNvPr id="337" name="Immagine 336" descr="http://demaco.consob/ArchiflowWeb/images/indicator.gif">
          <a:extLst>
            <a:ext uri="{FF2B5EF4-FFF2-40B4-BE49-F238E27FC236}">
              <a16:creationId xmlns:a16="http://schemas.microsoft.com/office/drawing/2014/main" id="{51E9B22B-BBB5-400E-A813-80F85CC4A5A5}"/>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539</xdr:row>
      <xdr:rowOff>0</xdr:rowOff>
    </xdr:from>
    <xdr:ext cx="152400" cy="152400"/>
    <xdr:pic>
      <xdr:nvPicPr>
        <xdr:cNvPr id="338" name="Immagine 337" descr="http://demaco.consob/ArchiflowWeb/images/indicator.gif">
          <a:extLst>
            <a:ext uri="{FF2B5EF4-FFF2-40B4-BE49-F238E27FC236}">
              <a16:creationId xmlns:a16="http://schemas.microsoft.com/office/drawing/2014/main" id="{D3F9EF14-53DC-4138-A8BB-82E166FD3218}"/>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539</xdr:row>
      <xdr:rowOff>0</xdr:rowOff>
    </xdr:from>
    <xdr:ext cx="152400" cy="152400"/>
    <xdr:pic>
      <xdr:nvPicPr>
        <xdr:cNvPr id="339" name="Immagine 338" descr="http://demaco.consob/ArchiflowWeb/images/indicator.gif">
          <a:extLst>
            <a:ext uri="{FF2B5EF4-FFF2-40B4-BE49-F238E27FC236}">
              <a16:creationId xmlns:a16="http://schemas.microsoft.com/office/drawing/2014/main" id="{0362283D-B5C6-4CFE-8D48-4251F404764F}"/>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539</xdr:row>
      <xdr:rowOff>0</xdr:rowOff>
    </xdr:from>
    <xdr:ext cx="152400" cy="152400"/>
    <xdr:pic>
      <xdr:nvPicPr>
        <xdr:cNvPr id="340" name="Immagine 339" descr="http://demaco.consob/ArchiflowWeb/images/indicator.gif">
          <a:extLst>
            <a:ext uri="{FF2B5EF4-FFF2-40B4-BE49-F238E27FC236}">
              <a16:creationId xmlns:a16="http://schemas.microsoft.com/office/drawing/2014/main" id="{69D53855-6719-4AEB-B3FD-BA20E31EBBBB}"/>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539</xdr:row>
      <xdr:rowOff>0</xdr:rowOff>
    </xdr:from>
    <xdr:ext cx="152400" cy="152400"/>
    <xdr:pic>
      <xdr:nvPicPr>
        <xdr:cNvPr id="341" name="Immagine 340" descr="http://demaco.consob/ArchiflowWeb/images/indicator.gif">
          <a:extLst>
            <a:ext uri="{FF2B5EF4-FFF2-40B4-BE49-F238E27FC236}">
              <a16:creationId xmlns:a16="http://schemas.microsoft.com/office/drawing/2014/main" id="{B3DC55D4-992C-423D-93DF-DF52B9CCFC4D}"/>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539</xdr:row>
      <xdr:rowOff>0</xdr:rowOff>
    </xdr:from>
    <xdr:ext cx="152400" cy="152400"/>
    <xdr:pic>
      <xdr:nvPicPr>
        <xdr:cNvPr id="342" name="Immagine 341" descr="http://demaco.consob/ArchiflowWeb/images/indicator.gif">
          <a:extLst>
            <a:ext uri="{FF2B5EF4-FFF2-40B4-BE49-F238E27FC236}">
              <a16:creationId xmlns:a16="http://schemas.microsoft.com/office/drawing/2014/main" id="{D0BAFD95-C9ED-4238-8F4E-5923F779ECDE}"/>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539</xdr:row>
      <xdr:rowOff>0</xdr:rowOff>
    </xdr:from>
    <xdr:ext cx="152400" cy="152400"/>
    <xdr:pic>
      <xdr:nvPicPr>
        <xdr:cNvPr id="343" name="Immagine 342" descr="http://demaco.consob/ArchiflowWeb/images/indicator.gif">
          <a:extLst>
            <a:ext uri="{FF2B5EF4-FFF2-40B4-BE49-F238E27FC236}">
              <a16:creationId xmlns:a16="http://schemas.microsoft.com/office/drawing/2014/main" id="{2B6E8655-B77F-4AAF-B300-930E5D5E88C5}"/>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539</xdr:row>
      <xdr:rowOff>0</xdr:rowOff>
    </xdr:from>
    <xdr:ext cx="152400" cy="152400"/>
    <xdr:pic>
      <xdr:nvPicPr>
        <xdr:cNvPr id="344" name="Immagine 343" descr="http://demaco.consob/ArchiflowWeb/images/indicator.gif">
          <a:extLst>
            <a:ext uri="{FF2B5EF4-FFF2-40B4-BE49-F238E27FC236}">
              <a16:creationId xmlns:a16="http://schemas.microsoft.com/office/drawing/2014/main" id="{E0D5992B-0E27-42CD-B32F-54A52E0D4038}"/>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539</xdr:row>
      <xdr:rowOff>0</xdr:rowOff>
    </xdr:from>
    <xdr:ext cx="152400" cy="152400"/>
    <xdr:pic>
      <xdr:nvPicPr>
        <xdr:cNvPr id="345" name="Immagine 344" descr="http://demaco.consob/ArchiflowWeb/images/indicator.gif">
          <a:extLst>
            <a:ext uri="{FF2B5EF4-FFF2-40B4-BE49-F238E27FC236}">
              <a16:creationId xmlns:a16="http://schemas.microsoft.com/office/drawing/2014/main" id="{DE009B5C-5995-4A08-BD9E-720668C82E2A}"/>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539</xdr:row>
      <xdr:rowOff>0</xdr:rowOff>
    </xdr:from>
    <xdr:ext cx="152400" cy="152400"/>
    <xdr:pic>
      <xdr:nvPicPr>
        <xdr:cNvPr id="346" name="Immagine 345" descr="http://demaco.consob/ArchiflowWeb/images/indicator.gif">
          <a:extLst>
            <a:ext uri="{FF2B5EF4-FFF2-40B4-BE49-F238E27FC236}">
              <a16:creationId xmlns:a16="http://schemas.microsoft.com/office/drawing/2014/main" id="{0CAB70DB-1C9C-4D3F-9E50-25D22738C426}"/>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539</xdr:row>
      <xdr:rowOff>0</xdr:rowOff>
    </xdr:from>
    <xdr:ext cx="152400" cy="152400"/>
    <xdr:pic>
      <xdr:nvPicPr>
        <xdr:cNvPr id="347" name="Immagine 346" descr="http://demaco.consob/ArchiflowWeb/images/indicator.gif">
          <a:extLst>
            <a:ext uri="{FF2B5EF4-FFF2-40B4-BE49-F238E27FC236}">
              <a16:creationId xmlns:a16="http://schemas.microsoft.com/office/drawing/2014/main" id="{D51A8030-7BD3-405A-AE88-D33EC34206C6}"/>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539</xdr:row>
      <xdr:rowOff>0</xdr:rowOff>
    </xdr:from>
    <xdr:ext cx="152400" cy="152400"/>
    <xdr:pic>
      <xdr:nvPicPr>
        <xdr:cNvPr id="348" name="Immagine 347" descr="http://demaco.consob/ArchiflowWeb/images/indicator.gif">
          <a:extLst>
            <a:ext uri="{FF2B5EF4-FFF2-40B4-BE49-F238E27FC236}">
              <a16:creationId xmlns:a16="http://schemas.microsoft.com/office/drawing/2014/main" id="{C04ED0D1-9C6A-4400-92FE-4AE057931E73}"/>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539</xdr:row>
      <xdr:rowOff>0</xdr:rowOff>
    </xdr:from>
    <xdr:ext cx="152400" cy="152400"/>
    <xdr:pic>
      <xdr:nvPicPr>
        <xdr:cNvPr id="349" name="Immagine 348" descr="http://demaco.consob/ArchiflowWeb/images/indicator.gif">
          <a:extLst>
            <a:ext uri="{FF2B5EF4-FFF2-40B4-BE49-F238E27FC236}">
              <a16:creationId xmlns:a16="http://schemas.microsoft.com/office/drawing/2014/main" id="{8FC99671-9EDF-4B9D-AA9B-961F1B366CD9}"/>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539</xdr:row>
      <xdr:rowOff>0</xdr:rowOff>
    </xdr:from>
    <xdr:ext cx="152400" cy="152400"/>
    <xdr:pic>
      <xdr:nvPicPr>
        <xdr:cNvPr id="350" name="Immagine 349" descr="http://demaco.consob/ArchiflowWeb/images/indicator.gif">
          <a:extLst>
            <a:ext uri="{FF2B5EF4-FFF2-40B4-BE49-F238E27FC236}">
              <a16:creationId xmlns:a16="http://schemas.microsoft.com/office/drawing/2014/main" id="{25C7FA95-9BC1-4711-9E75-CACABE5705B5}"/>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539</xdr:row>
      <xdr:rowOff>0</xdr:rowOff>
    </xdr:from>
    <xdr:ext cx="152400" cy="152400"/>
    <xdr:pic>
      <xdr:nvPicPr>
        <xdr:cNvPr id="351" name="Immagine 350" descr="http://demaco.consob/ArchiflowWeb/images/indicator.gif">
          <a:extLst>
            <a:ext uri="{FF2B5EF4-FFF2-40B4-BE49-F238E27FC236}">
              <a16:creationId xmlns:a16="http://schemas.microsoft.com/office/drawing/2014/main" id="{30DC6AC6-4A0D-41E5-BC47-C21D7E800FD6}"/>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539</xdr:row>
      <xdr:rowOff>0</xdr:rowOff>
    </xdr:from>
    <xdr:ext cx="152400" cy="152400"/>
    <xdr:pic>
      <xdr:nvPicPr>
        <xdr:cNvPr id="352" name="Immagine 351" descr="http://demaco.consob/ArchiflowWeb/images/indicator.gif">
          <a:extLst>
            <a:ext uri="{FF2B5EF4-FFF2-40B4-BE49-F238E27FC236}">
              <a16:creationId xmlns:a16="http://schemas.microsoft.com/office/drawing/2014/main" id="{5BEEA34E-020E-4FE7-8D4F-254918599D1D}"/>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539</xdr:row>
      <xdr:rowOff>0</xdr:rowOff>
    </xdr:from>
    <xdr:ext cx="152400" cy="152400"/>
    <xdr:pic>
      <xdr:nvPicPr>
        <xdr:cNvPr id="353" name="Immagine 352" descr="http://demaco.consob/ArchiflowWeb/images/indicator.gif">
          <a:extLst>
            <a:ext uri="{FF2B5EF4-FFF2-40B4-BE49-F238E27FC236}">
              <a16:creationId xmlns:a16="http://schemas.microsoft.com/office/drawing/2014/main" id="{709A4A65-346A-4696-A877-8274D11FEC6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539</xdr:row>
      <xdr:rowOff>0</xdr:rowOff>
    </xdr:from>
    <xdr:ext cx="152400" cy="152400"/>
    <xdr:pic>
      <xdr:nvPicPr>
        <xdr:cNvPr id="354" name="Immagine 353" descr="http://demaco.consob/ArchiflowWeb/images/indicator.gif">
          <a:extLst>
            <a:ext uri="{FF2B5EF4-FFF2-40B4-BE49-F238E27FC236}">
              <a16:creationId xmlns:a16="http://schemas.microsoft.com/office/drawing/2014/main" id="{22E32BCD-E8C3-4189-84C9-B8C1BBF9C113}"/>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539</xdr:row>
      <xdr:rowOff>0</xdr:rowOff>
    </xdr:from>
    <xdr:ext cx="152400" cy="152400"/>
    <xdr:pic>
      <xdr:nvPicPr>
        <xdr:cNvPr id="355" name="Immagine 354" descr="http://demaco.consob/ArchiflowWeb/images/indicator.gif">
          <a:extLst>
            <a:ext uri="{FF2B5EF4-FFF2-40B4-BE49-F238E27FC236}">
              <a16:creationId xmlns:a16="http://schemas.microsoft.com/office/drawing/2014/main" id="{8DC74388-80F3-4479-975A-CE9CD6A055EC}"/>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539</xdr:row>
      <xdr:rowOff>0</xdr:rowOff>
    </xdr:from>
    <xdr:ext cx="152400" cy="152400"/>
    <xdr:pic>
      <xdr:nvPicPr>
        <xdr:cNvPr id="356" name="Immagine 355" descr="http://demaco.consob/ArchiflowWeb/images/indicator.gif">
          <a:extLst>
            <a:ext uri="{FF2B5EF4-FFF2-40B4-BE49-F238E27FC236}">
              <a16:creationId xmlns:a16="http://schemas.microsoft.com/office/drawing/2014/main" id="{E5970BF2-25F2-4792-8FEB-CB5EEFB98A11}"/>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539</xdr:row>
      <xdr:rowOff>0</xdr:rowOff>
    </xdr:from>
    <xdr:ext cx="152400" cy="152400"/>
    <xdr:pic>
      <xdr:nvPicPr>
        <xdr:cNvPr id="357" name="Immagine 356" descr="http://demaco.consob/ArchiflowWeb/images/indicator.gif">
          <a:extLst>
            <a:ext uri="{FF2B5EF4-FFF2-40B4-BE49-F238E27FC236}">
              <a16:creationId xmlns:a16="http://schemas.microsoft.com/office/drawing/2014/main" id="{6FFAAA00-479B-442D-8B96-20DF735CE567}"/>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539</xdr:row>
      <xdr:rowOff>0</xdr:rowOff>
    </xdr:from>
    <xdr:ext cx="152400" cy="152400"/>
    <xdr:pic>
      <xdr:nvPicPr>
        <xdr:cNvPr id="358" name="Immagine 357" descr="http://demaco.consob/ArchiflowWeb/images/indicator.gif">
          <a:extLst>
            <a:ext uri="{FF2B5EF4-FFF2-40B4-BE49-F238E27FC236}">
              <a16:creationId xmlns:a16="http://schemas.microsoft.com/office/drawing/2014/main" id="{2C3A101D-25C6-4B7E-8782-48AB030B0411}"/>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539</xdr:row>
      <xdr:rowOff>0</xdr:rowOff>
    </xdr:from>
    <xdr:ext cx="152400" cy="152400"/>
    <xdr:pic>
      <xdr:nvPicPr>
        <xdr:cNvPr id="359" name="Immagine 358" descr="http://demaco.consob/ArchiflowWeb/images/indicator.gif">
          <a:extLst>
            <a:ext uri="{FF2B5EF4-FFF2-40B4-BE49-F238E27FC236}">
              <a16:creationId xmlns:a16="http://schemas.microsoft.com/office/drawing/2014/main" id="{B38A870A-7297-444F-AAB2-46757EA08E3A}"/>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539</xdr:row>
      <xdr:rowOff>0</xdr:rowOff>
    </xdr:from>
    <xdr:ext cx="152400" cy="152400"/>
    <xdr:pic>
      <xdr:nvPicPr>
        <xdr:cNvPr id="360" name="Immagine 359" descr="http://demaco.consob/ArchiflowWeb/images/indicator.gif">
          <a:extLst>
            <a:ext uri="{FF2B5EF4-FFF2-40B4-BE49-F238E27FC236}">
              <a16:creationId xmlns:a16="http://schemas.microsoft.com/office/drawing/2014/main" id="{49294AA0-F1B1-4C31-9D07-23A5B4C9933E}"/>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539</xdr:row>
      <xdr:rowOff>0</xdr:rowOff>
    </xdr:from>
    <xdr:ext cx="152400" cy="152400"/>
    <xdr:pic>
      <xdr:nvPicPr>
        <xdr:cNvPr id="361" name="Immagine 360" descr="http://demaco.consob/ArchiflowWeb/images/indicator.gif">
          <a:extLst>
            <a:ext uri="{FF2B5EF4-FFF2-40B4-BE49-F238E27FC236}">
              <a16:creationId xmlns:a16="http://schemas.microsoft.com/office/drawing/2014/main" id="{3D798684-A76F-4B54-826F-8D1BC6D69C8C}"/>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539</xdr:row>
      <xdr:rowOff>0</xdr:rowOff>
    </xdr:from>
    <xdr:ext cx="152400" cy="152400"/>
    <xdr:pic>
      <xdr:nvPicPr>
        <xdr:cNvPr id="362" name="Immagine 361" descr="http://demaco.consob/ArchiflowWeb/images/indicator.gif">
          <a:extLst>
            <a:ext uri="{FF2B5EF4-FFF2-40B4-BE49-F238E27FC236}">
              <a16:creationId xmlns:a16="http://schemas.microsoft.com/office/drawing/2014/main" id="{3A85ED11-AEF8-4A81-8B51-5BFF4EAC1DBB}"/>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539</xdr:row>
      <xdr:rowOff>0</xdr:rowOff>
    </xdr:from>
    <xdr:ext cx="152400" cy="152400"/>
    <xdr:pic>
      <xdr:nvPicPr>
        <xdr:cNvPr id="363" name="Immagine 362" descr="http://demaco.consob/ArchiflowWeb/images/indicator.gif">
          <a:extLst>
            <a:ext uri="{FF2B5EF4-FFF2-40B4-BE49-F238E27FC236}">
              <a16:creationId xmlns:a16="http://schemas.microsoft.com/office/drawing/2014/main" id="{3DE16152-7149-453C-8DDB-4B372B4E8E2F}"/>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539</xdr:row>
      <xdr:rowOff>0</xdr:rowOff>
    </xdr:from>
    <xdr:ext cx="152400" cy="152400"/>
    <xdr:pic>
      <xdr:nvPicPr>
        <xdr:cNvPr id="364" name="Immagine 363" descr="http://demaco.consob/ArchiflowWeb/images/indicator.gif">
          <a:extLst>
            <a:ext uri="{FF2B5EF4-FFF2-40B4-BE49-F238E27FC236}">
              <a16:creationId xmlns:a16="http://schemas.microsoft.com/office/drawing/2014/main" id="{C42040FF-F0F1-4BDC-923D-E6E15A0750F5}"/>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539</xdr:row>
      <xdr:rowOff>0</xdr:rowOff>
    </xdr:from>
    <xdr:ext cx="152400" cy="152400"/>
    <xdr:pic>
      <xdr:nvPicPr>
        <xdr:cNvPr id="365" name="Immagine 364" descr="http://demaco.consob/ArchiflowWeb/images/indicator.gif">
          <a:extLst>
            <a:ext uri="{FF2B5EF4-FFF2-40B4-BE49-F238E27FC236}">
              <a16:creationId xmlns:a16="http://schemas.microsoft.com/office/drawing/2014/main" id="{C2EBD990-1CF4-407A-AF77-B0765FD73D93}"/>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539</xdr:row>
      <xdr:rowOff>0</xdr:rowOff>
    </xdr:from>
    <xdr:ext cx="152400" cy="152400"/>
    <xdr:pic>
      <xdr:nvPicPr>
        <xdr:cNvPr id="366" name="Immagine 365" descr="http://demaco.consob/ArchiflowWeb/images/indicator.gif">
          <a:extLst>
            <a:ext uri="{FF2B5EF4-FFF2-40B4-BE49-F238E27FC236}">
              <a16:creationId xmlns:a16="http://schemas.microsoft.com/office/drawing/2014/main" id="{D97C82FA-A4F8-400C-8F4B-019FB16E6E71}"/>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539</xdr:row>
      <xdr:rowOff>0</xdr:rowOff>
    </xdr:from>
    <xdr:ext cx="152400" cy="152400"/>
    <xdr:pic>
      <xdr:nvPicPr>
        <xdr:cNvPr id="367" name="Immagine 366" descr="http://demaco.consob/ArchiflowWeb/images/indicator.gif">
          <a:extLst>
            <a:ext uri="{FF2B5EF4-FFF2-40B4-BE49-F238E27FC236}">
              <a16:creationId xmlns:a16="http://schemas.microsoft.com/office/drawing/2014/main" id="{4746243B-990D-4263-89CC-0509ADF512B8}"/>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539</xdr:row>
      <xdr:rowOff>0</xdr:rowOff>
    </xdr:from>
    <xdr:ext cx="152400" cy="152400"/>
    <xdr:pic>
      <xdr:nvPicPr>
        <xdr:cNvPr id="368" name="Immagine 367" descr="http://demaco.consob/ArchiflowWeb/images/indicator.gif">
          <a:extLst>
            <a:ext uri="{FF2B5EF4-FFF2-40B4-BE49-F238E27FC236}">
              <a16:creationId xmlns:a16="http://schemas.microsoft.com/office/drawing/2014/main" id="{E5FCCC99-27AA-4566-AC4F-B16EDD45AD54}"/>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539</xdr:row>
      <xdr:rowOff>0</xdr:rowOff>
    </xdr:from>
    <xdr:ext cx="152400" cy="152400"/>
    <xdr:pic>
      <xdr:nvPicPr>
        <xdr:cNvPr id="369" name="Immagine 368" descr="http://demaco.consob/ArchiflowWeb/images/indicator.gif">
          <a:extLst>
            <a:ext uri="{FF2B5EF4-FFF2-40B4-BE49-F238E27FC236}">
              <a16:creationId xmlns:a16="http://schemas.microsoft.com/office/drawing/2014/main" id="{09D9780B-D02A-4508-B20E-6069E7DA223D}"/>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539</xdr:row>
      <xdr:rowOff>0</xdr:rowOff>
    </xdr:from>
    <xdr:ext cx="152400" cy="152400"/>
    <xdr:pic>
      <xdr:nvPicPr>
        <xdr:cNvPr id="370" name="Immagine 369" descr="http://demaco.consob/ArchiflowWeb/images/indicator.gif">
          <a:extLst>
            <a:ext uri="{FF2B5EF4-FFF2-40B4-BE49-F238E27FC236}">
              <a16:creationId xmlns:a16="http://schemas.microsoft.com/office/drawing/2014/main" id="{36D588C3-B11C-4954-ABE3-52E048AEAE3A}"/>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539</xdr:row>
      <xdr:rowOff>0</xdr:rowOff>
    </xdr:from>
    <xdr:ext cx="152400" cy="152400"/>
    <xdr:pic>
      <xdr:nvPicPr>
        <xdr:cNvPr id="371" name="Immagine 370" descr="http://demaco.consob/ArchiflowWeb/images/indicator.gif">
          <a:extLst>
            <a:ext uri="{FF2B5EF4-FFF2-40B4-BE49-F238E27FC236}">
              <a16:creationId xmlns:a16="http://schemas.microsoft.com/office/drawing/2014/main" id="{70A8B76F-F1CC-49E5-AB78-6E19E5B50196}"/>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539</xdr:row>
      <xdr:rowOff>0</xdr:rowOff>
    </xdr:from>
    <xdr:ext cx="152400" cy="152400"/>
    <xdr:pic>
      <xdr:nvPicPr>
        <xdr:cNvPr id="372" name="Immagine 371" descr="http://demaco.consob/ArchiflowWeb/images/indicator.gif">
          <a:extLst>
            <a:ext uri="{FF2B5EF4-FFF2-40B4-BE49-F238E27FC236}">
              <a16:creationId xmlns:a16="http://schemas.microsoft.com/office/drawing/2014/main" id="{0D59B6AA-3D9F-4472-AC13-3474B00CBD42}"/>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539</xdr:row>
      <xdr:rowOff>0</xdr:rowOff>
    </xdr:from>
    <xdr:ext cx="152400" cy="152400"/>
    <xdr:pic>
      <xdr:nvPicPr>
        <xdr:cNvPr id="373" name="Immagine 372" descr="http://demaco.consob/ArchiflowWeb/images/indicator.gif">
          <a:extLst>
            <a:ext uri="{FF2B5EF4-FFF2-40B4-BE49-F238E27FC236}">
              <a16:creationId xmlns:a16="http://schemas.microsoft.com/office/drawing/2014/main" id="{8AA934AA-19AF-45E5-B57C-6CF22B51B62D}"/>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539</xdr:row>
      <xdr:rowOff>0</xdr:rowOff>
    </xdr:from>
    <xdr:ext cx="152400" cy="152400"/>
    <xdr:pic>
      <xdr:nvPicPr>
        <xdr:cNvPr id="374" name="Immagine 373" descr="http://demaco.consob/ArchiflowWeb/images/indicator.gif">
          <a:extLst>
            <a:ext uri="{FF2B5EF4-FFF2-40B4-BE49-F238E27FC236}">
              <a16:creationId xmlns:a16="http://schemas.microsoft.com/office/drawing/2014/main" id="{FE58EB1E-A6B3-451D-8773-6A84A08A54D1}"/>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539</xdr:row>
      <xdr:rowOff>0</xdr:rowOff>
    </xdr:from>
    <xdr:ext cx="152400" cy="152400"/>
    <xdr:pic>
      <xdr:nvPicPr>
        <xdr:cNvPr id="375" name="Immagine 374" descr="http://demaco.consob/ArchiflowWeb/images/indicator.gif">
          <a:extLst>
            <a:ext uri="{FF2B5EF4-FFF2-40B4-BE49-F238E27FC236}">
              <a16:creationId xmlns:a16="http://schemas.microsoft.com/office/drawing/2014/main" id="{BEE524DE-6D2E-43AE-8E32-220A6012D75A}"/>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539</xdr:row>
      <xdr:rowOff>0</xdr:rowOff>
    </xdr:from>
    <xdr:ext cx="152400" cy="152400"/>
    <xdr:pic>
      <xdr:nvPicPr>
        <xdr:cNvPr id="376" name="Immagine 375" descr="http://demaco.consob/ArchiflowWeb/images/indicator.gif">
          <a:extLst>
            <a:ext uri="{FF2B5EF4-FFF2-40B4-BE49-F238E27FC236}">
              <a16:creationId xmlns:a16="http://schemas.microsoft.com/office/drawing/2014/main" id="{3FB15FA6-03BE-429C-A654-B4EF383D793E}"/>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539</xdr:row>
      <xdr:rowOff>0</xdr:rowOff>
    </xdr:from>
    <xdr:ext cx="152400" cy="152400"/>
    <xdr:pic>
      <xdr:nvPicPr>
        <xdr:cNvPr id="377" name="Immagine 376" descr="http://demaco.consob/ArchiflowWeb/images/indicator.gif">
          <a:extLst>
            <a:ext uri="{FF2B5EF4-FFF2-40B4-BE49-F238E27FC236}">
              <a16:creationId xmlns:a16="http://schemas.microsoft.com/office/drawing/2014/main" id="{CE43C6EF-B98A-424F-B5C2-0593C6A8CD4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539</xdr:row>
      <xdr:rowOff>0</xdr:rowOff>
    </xdr:from>
    <xdr:ext cx="152400" cy="152400"/>
    <xdr:pic>
      <xdr:nvPicPr>
        <xdr:cNvPr id="378" name="Immagine 377" descr="http://demaco.consob/ArchiflowWeb/images/indicator.gif">
          <a:extLst>
            <a:ext uri="{FF2B5EF4-FFF2-40B4-BE49-F238E27FC236}">
              <a16:creationId xmlns:a16="http://schemas.microsoft.com/office/drawing/2014/main" id="{BAAC0A5A-8B5D-4454-B450-188940220A97}"/>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539</xdr:row>
      <xdr:rowOff>0</xdr:rowOff>
    </xdr:from>
    <xdr:ext cx="152400" cy="152400"/>
    <xdr:pic>
      <xdr:nvPicPr>
        <xdr:cNvPr id="379" name="Immagine 378" descr="http://demaco.consob/ArchiflowWeb/images/indicator.gif">
          <a:extLst>
            <a:ext uri="{FF2B5EF4-FFF2-40B4-BE49-F238E27FC236}">
              <a16:creationId xmlns:a16="http://schemas.microsoft.com/office/drawing/2014/main" id="{019AEB61-CA6C-4A33-B27C-29851043BB36}"/>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539</xdr:row>
      <xdr:rowOff>0</xdr:rowOff>
    </xdr:from>
    <xdr:ext cx="152400" cy="152400"/>
    <xdr:pic>
      <xdr:nvPicPr>
        <xdr:cNvPr id="380" name="Immagine 379" descr="http://demaco.consob/ArchiflowWeb/images/indicator.gif">
          <a:extLst>
            <a:ext uri="{FF2B5EF4-FFF2-40B4-BE49-F238E27FC236}">
              <a16:creationId xmlns:a16="http://schemas.microsoft.com/office/drawing/2014/main" id="{DB995E5D-A787-495D-AD7A-485E0157B64C}"/>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539</xdr:row>
      <xdr:rowOff>0</xdr:rowOff>
    </xdr:from>
    <xdr:ext cx="152400" cy="152400"/>
    <xdr:pic>
      <xdr:nvPicPr>
        <xdr:cNvPr id="381" name="Immagine 380" descr="http://demaco.consob/ArchiflowWeb/images/indicator.gif">
          <a:extLst>
            <a:ext uri="{FF2B5EF4-FFF2-40B4-BE49-F238E27FC236}">
              <a16:creationId xmlns:a16="http://schemas.microsoft.com/office/drawing/2014/main" id="{182E27FC-527D-4C74-95A4-0D8582FAEC32}"/>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539</xdr:row>
      <xdr:rowOff>0</xdr:rowOff>
    </xdr:from>
    <xdr:ext cx="152400" cy="152400"/>
    <xdr:pic>
      <xdr:nvPicPr>
        <xdr:cNvPr id="382" name="Immagine 381" descr="http://demaco.consob/ArchiflowWeb/images/indicator.gif">
          <a:extLst>
            <a:ext uri="{FF2B5EF4-FFF2-40B4-BE49-F238E27FC236}">
              <a16:creationId xmlns:a16="http://schemas.microsoft.com/office/drawing/2014/main" id="{ED2D7B3C-005A-4F27-A29C-40DAE2DE28EA}"/>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539</xdr:row>
      <xdr:rowOff>0</xdr:rowOff>
    </xdr:from>
    <xdr:ext cx="152400" cy="152400"/>
    <xdr:pic>
      <xdr:nvPicPr>
        <xdr:cNvPr id="383" name="Immagine 382" descr="http://demaco.consob/ArchiflowWeb/images/indicator.gif">
          <a:extLst>
            <a:ext uri="{FF2B5EF4-FFF2-40B4-BE49-F238E27FC236}">
              <a16:creationId xmlns:a16="http://schemas.microsoft.com/office/drawing/2014/main" id="{C25FBDC6-1679-4225-A44C-E4A2BA5978A4}"/>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539</xdr:row>
      <xdr:rowOff>0</xdr:rowOff>
    </xdr:from>
    <xdr:ext cx="152400" cy="152400"/>
    <xdr:pic>
      <xdr:nvPicPr>
        <xdr:cNvPr id="384" name="Immagine 383" descr="http://demaco.consob/ArchiflowWeb/images/indicator.gif">
          <a:extLst>
            <a:ext uri="{FF2B5EF4-FFF2-40B4-BE49-F238E27FC236}">
              <a16:creationId xmlns:a16="http://schemas.microsoft.com/office/drawing/2014/main" id="{0EFCBEB5-3048-4CCF-941C-5B0337185587}"/>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539</xdr:row>
      <xdr:rowOff>0</xdr:rowOff>
    </xdr:from>
    <xdr:ext cx="152400" cy="152400"/>
    <xdr:pic>
      <xdr:nvPicPr>
        <xdr:cNvPr id="385" name="Immagine 384" descr="http://demaco.consob/ArchiflowWeb/images/indicator.gif">
          <a:extLst>
            <a:ext uri="{FF2B5EF4-FFF2-40B4-BE49-F238E27FC236}">
              <a16:creationId xmlns:a16="http://schemas.microsoft.com/office/drawing/2014/main" id="{534F6855-D475-4A6B-9DA9-D8B06D90EF9E}"/>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539</xdr:row>
      <xdr:rowOff>0</xdr:rowOff>
    </xdr:from>
    <xdr:ext cx="152400" cy="152400"/>
    <xdr:pic>
      <xdr:nvPicPr>
        <xdr:cNvPr id="386" name="Immagine 385" descr="http://demaco.consob/ArchiflowWeb/images/indicator.gif">
          <a:extLst>
            <a:ext uri="{FF2B5EF4-FFF2-40B4-BE49-F238E27FC236}">
              <a16:creationId xmlns:a16="http://schemas.microsoft.com/office/drawing/2014/main" id="{EF358C92-BF8E-4163-9612-EF14D89E0029}"/>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539</xdr:row>
      <xdr:rowOff>0</xdr:rowOff>
    </xdr:from>
    <xdr:ext cx="152400" cy="152400"/>
    <xdr:pic>
      <xdr:nvPicPr>
        <xdr:cNvPr id="387" name="Immagine 386" descr="http://demaco.consob/ArchiflowWeb/images/indicator.gif">
          <a:extLst>
            <a:ext uri="{FF2B5EF4-FFF2-40B4-BE49-F238E27FC236}">
              <a16:creationId xmlns:a16="http://schemas.microsoft.com/office/drawing/2014/main" id="{745A09C3-350F-4EAD-87B7-94A9446DA23F}"/>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539</xdr:row>
      <xdr:rowOff>0</xdr:rowOff>
    </xdr:from>
    <xdr:ext cx="152400" cy="152400"/>
    <xdr:pic>
      <xdr:nvPicPr>
        <xdr:cNvPr id="388" name="Immagine 387" descr="http://demaco.consob/ArchiflowWeb/images/indicator.gif">
          <a:extLst>
            <a:ext uri="{FF2B5EF4-FFF2-40B4-BE49-F238E27FC236}">
              <a16:creationId xmlns:a16="http://schemas.microsoft.com/office/drawing/2014/main" id="{EE37369F-3AA9-4081-9A70-BE42EE415F3E}"/>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539</xdr:row>
      <xdr:rowOff>0</xdr:rowOff>
    </xdr:from>
    <xdr:ext cx="152400" cy="152400"/>
    <xdr:pic>
      <xdr:nvPicPr>
        <xdr:cNvPr id="389" name="Immagine 388" descr="http://demaco.consob/ArchiflowWeb/images/indicator.gif">
          <a:extLst>
            <a:ext uri="{FF2B5EF4-FFF2-40B4-BE49-F238E27FC236}">
              <a16:creationId xmlns:a16="http://schemas.microsoft.com/office/drawing/2014/main" id="{C7A9A249-D7CA-42BA-B238-CA96F1C5D94D}"/>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539</xdr:row>
      <xdr:rowOff>0</xdr:rowOff>
    </xdr:from>
    <xdr:ext cx="152400" cy="152400"/>
    <xdr:pic>
      <xdr:nvPicPr>
        <xdr:cNvPr id="390" name="Immagine 389" descr="http://demaco.consob/ArchiflowWeb/images/indicator.gif">
          <a:extLst>
            <a:ext uri="{FF2B5EF4-FFF2-40B4-BE49-F238E27FC236}">
              <a16:creationId xmlns:a16="http://schemas.microsoft.com/office/drawing/2014/main" id="{E40B4759-23D8-4649-B7F4-7DB34B8D5348}"/>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539</xdr:row>
      <xdr:rowOff>0</xdr:rowOff>
    </xdr:from>
    <xdr:ext cx="152400" cy="152400"/>
    <xdr:pic>
      <xdr:nvPicPr>
        <xdr:cNvPr id="391" name="Immagine 390" descr="http://demaco.consob/ArchiflowWeb/images/indicator.gif">
          <a:extLst>
            <a:ext uri="{FF2B5EF4-FFF2-40B4-BE49-F238E27FC236}">
              <a16:creationId xmlns:a16="http://schemas.microsoft.com/office/drawing/2014/main" id="{C4FDFF23-7AA9-48BA-A83B-D4C9F0D95BDF}"/>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539</xdr:row>
      <xdr:rowOff>0</xdr:rowOff>
    </xdr:from>
    <xdr:ext cx="152400" cy="152400"/>
    <xdr:pic>
      <xdr:nvPicPr>
        <xdr:cNvPr id="392" name="Immagine 391" descr="http://demaco.consob/ArchiflowWeb/images/indicator.gif">
          <a:extLst>
            <a:ext uri="{FF2B5EF4-FFF2-40B4-BE49-F238E27FC236}">
              <a16:creationId xmlns:a16="http://schemas.microsoft.com/office/drawing/2014/main" id="{3CFD4D69-9D2B-4946-9B4A-3EDF1F1D35E2}"/>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539</xdr:row>
      <xdr:rowOff>0</xdr:rowOff>
    </xdr:from>
    <xdr:ext cx="152400" cy="152400"/>
    <xdr:pic>
      <xdr:nvPicPr>
        <xdr:cNvPr id="393" name="Immagine 392" descr="http://demaco.consob/ArchiflowWeb/images/indicator.gif">
          <a:extLst>
            <a:ext uri="{FF2B5EF4-FFF2-40B4-BE49-F238E27FC236}">
              <a16:creationId xmlns:a16="http://schemas.microsoft.com/office/drawing/2014/main" id="{4827F0D5-EE17-4F1D-BF61-647B5E82108D}"/>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539</xdr:row>
      <xdr:rowOff>0</xdr:rowOff>
    </xdr:from>
    <xdr:ext cx="152400" cy="152400"/>
    <xdr:pic>
      <xdr:nvPicPr>
        <xdr:cNvPr id="394" name="Immagine 393" descr="http://demaco.consob/ArchiflowWeb/images/indicator.gif">
          <a:extLst>
            <a:ext uri="{FF2B5EF4-FFF2-40B4-BE49-F238E27FC236}">
              <a16:creationId xmlns:a16="http://schemas.microsoft.com/office/drawing/2014/main" id="{84FEBFB0-7141-423C-9810-1C2FF7FECC9C}"/>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539</xdr:row>
      <xdr:rowOff>0</xdr:rowOff>
    </xdr:from>
    <xdr:ext cx="152400" cy="152400"/>
    <xdr:pic>
      <xdr:nvPicPr>
        <xdr:cNvPr id="395" name="Immagine 394" descr="http://demaco.consob/ArchiflowWeb/images/indicator.gif">
          <a:extLst>
            <a:ext uri="{FF2B5EF4-FFF2-40B4-BE49-F238E27FC236}">
              <a16:creationId xmlns:a16="http://schemas.microsoft.com/office/drawing/2014/main" id="{7A73A8F9-D1CF-4EFD-8F2E-17FEDE083876}"/>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539</xdr:row>
      <xdr:rowOff>0</xdr:rowOff>
    </xdr:from>
    <xdr:ext cx="152400" cy="152400"/>
    <xdr:pic>
      <xdr:nvPicPr>
        <xdr:cNvPr id="396" name="Immagine 395" descr="http://demaco.consob/ArchiflowWeb/images/indicator.gif">
          <a:extLst>
            <a:ext uri="{FF2B5EF4-FFF2-40B4-BE49-F238E27FC236}">
              <a16:creationId xmlns:a16="http://schemas.microsoft.com/office/drawing/2014/main" id="{261559CE-F3D7-4CE6-B3D6-E0D15DCACEFE}"/>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539</xdr:row>
      <xdr:rowOff>0</xdr:rowOff>
    </xdr:from>
    <xdr:ext cx="152400" cy="152400"/>
    <xdr:pic>
      <xdr:nvPicPr>
        <xdr:cNvPr id="397" name="Immagine 396" descr="http://demaco.consob/ArchiflowWeb/images/indicator.gif">
          <a:extLst>
            <a:ext uri="{FF2B5EF4-FFF2-40B4-BE49-F238E27FC236}">
              <a16:creationId xmlns:a16="http://schemas.microsoft.com/office/drawing/2014/main" id="{5C9EC05A-BCC2-4A0C-9A32-9ED398EB685C}"/>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567</xdr:row>
      <xdr:rowOff>0</xdr:rowOff>
    </xdr:from>
    <xdr:ext cx="152400" cy="152400"/>
    <xdr:pic>
      <xdr:nvPicPr>
        <xdr:cNvPr id="442" name="Immagine 441" descr="http://demaco.consob/ArchiflowWeb/images/indicator.gif">
          <a:extLst>
            <a:ext uri="{FF2B5EF4-FFF2-40B4-BE49-F238E27FC236}">
              <a16:creationId xmlns:a16="http://schemas.microsoft.com/office/drawing/2014/main" id="{F298734B-1BEC-4F69-A270-1688161168DF}"/>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468600" y="14382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567</xdr:row>
      <xdr:rowOff>0</xdr:rowOff>
    </xdr:from>
    <xdr:ext cx="152400" cy="152400"/>
    <xdr:pic>
      <xdr:nvPicPr>
        <xdr:cNvPr id="443" name="Immagine 442" descr="http://demaco.consob/ArchiflowWeb/images/indicator.gif">
          <a:extLst>
            <a:ext uri="{FF2B5EF4-FFF2-40B4-BE49-F238E27FC236}">
              <a16:creationId xmlns:a16="http://schemas.microsoft.com/office/drawing/2014/main" id="{1F14035E-FCD4-4DA4-8818-599C7BF34745}"/>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468600" y="14382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567</xdr:row>
      <xdr:rowOff>0</xdr:rowOff>
    </xdr:from>
    <xdr:ext cx="152400" cy="152400"/>
    <xdr:pic>
      <xdr:nvPicPr>
        <xdr:cNvPr id="444" name="Immagine 443" descr="http://demaco.consob/ArchiflowWeb/images/indicator.gif">
          <a:extLst>
            <a:ext uri="{FF2B5EF4-FFF2-40B4-BE49-F238E27FC236}">
              <a16:creationId xmlns:a16="http://schemas.microsoft.com/office/drawing/2014/main" id="{55DD5D1B-FA56-46BA-89CF-38FC6501D9AB}"/>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468600" y="14382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567</xdr:row>
      <xdr:rowOff>0</xdr:rowOff>
    </xdr:from>
    <xdr:ext cx="152400" cy="152400"/>
    <xdr:pic>
      <xdr:nvPicPr>
        <xdr:cNvPr id="445" name="Immagine 444" descr="http://demaco.consob/ArchiflowWeb/images/indicator.gif">
          <a:extLst>
            <a:ext uri="{FF2B5EF4-FFF2-40B4-BE49-F238E27FC236}">
              <a16:creationId xmlns:a16="http://schemas.microsoft.com/office/drawing/2014/main" id="{AC20C726-50F3-487A-9C2E-A8D540D96021}"/>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468600" y="14382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567</xdr:row>
      <xdr:rowOff>0</xdr:rowOff>
    </xdr:from>
    <xdr:ext cx="152400" cy="152400"/>
    <xdr:pic>
      <xdr:nvPicPr>
        <xdr:cNvPr id="446" name="Immagine 445" descr="http://demaco.consob/ArchiflowWeb/images/indicator.gif">
          <a:extLst>
            <a:ext uri="{FF2B5EF4-FFF2-40B4-BE49-F238E27FC236}">
              <a16:creationId xmlns:a16="http://schemas.microsoft.com/office/drawing/2014/main" id="{4BD9B2C2-9B6D-47E5-B4EB-A8FA53B13BF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468600" y="14382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567</xdr:row>
      <xdr:rowOff>0</xdr:rowOff>
    </xdr:from>
    <xdr:ext cx="152400" cy="152400"/>
    <xdr:pic>
      <xdr:nvPicPr>
        <xdr:cNvPr id="447" name="Immagine 446" descr="http://demaco.consob/ArchiflowWeb/images/indicator.gif">
          <a:extLst>
            <a:ext uri="{FF2B5EF4-FFF2-40B4-BE49-F238E27FC236}">
              <a16:creationId xmlns:a16="http://schemas.microsoft.com/office/drawing/2014/main" id="{CD47627B-71EC-4376-B6F5-7E6A48BA1F97}"/>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468600" y="14382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567</xdr:row>
      <xdr:rowOff>0</xdr:rowOff>
    </xdr:from>
    <xdr:ext cx="152400" cy="152400"/>
    <xdr:pic>
      <xdr:nvPicPr>
        <xdr:cNvPr id="448" name="Immagine 447" descr="http://demaco.consob/ArchiflowWeb/images/indicator.gif">
          <a:extLst>
            <a:ext uri="{FF2B5EF4-FFF2-40B4-BE49-F238E27FC236}">
              <a16:creationId xmlns:a16="http://schemas.microsoft.com/office/drawing/2014/main" id="{F0FDC3AB-8F89-4F1C-8B35-B39EEF82BFDD}"/>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468600" y="14382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567</xdr:row>
      <xdr:rowOff>0</xdr:rowOff>
    </xdr:from>
    <xdr:ext cx="152400" cy="152400"/>
    <xdr:pic>
      <xdr:nvPicPr>
        <xdr:cNvPr id="449" name="Immagine 448" descr="http://demaco.consob/ArchiflowWeb/images/indicator.gif">
          <a:extLst>
            <a:ext uri="{FF2B5EF4-FFF2-40B4-BE49-F238E27FC236}">
              <a16:creationId xmlns:a16="http://schemas.microsoft.com/office/drawing/2014/main" id="{55640F90-5177-4B01-B66F-968E2C9C7C9E}"/>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468600" y="14382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567</xdr:row>
      <xdr:rowOff>0</xdr:rowOff>
    </xdr:from>
    <xdr:ext cx="152400" cy="152400"/>
    <xdr:pic>
      <xdr:nvPicPr>
        <xdr:cNvPr id="450" name="Immagine 449" descr="http://demaco.consob/ArchiflowWeb/images/indicator.gif">
          <a:extLst>
            <a:ext uri="{FF2B5EF4-FFF2-40B4-BE49-F238E27FC236}">
              <a16:creationId xmlns:a16="http://schemas.microsoft.com/office/drawing/2014/main" id="{26266E23-030E-4C30-9BCD-4D1E5E895EFE}"/>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468600" y="14382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567</xdr:row>
      <xdr:rowOff>0</xdr:rowOff>
    </xdr:from>
    <xdr:ext cx="152400" cy="152400"/>
    <xdr:pic>
      <xdr:nvPicPr>
        <xdr:cNvPr id="451" name="Immagine 450" descr="http://demaco.consob/ArchiflowWeb/images/indicator.gif">
          <a:extLst>
            <a:ext uri="{FF2B5EF4-FFF2-40B4-BE49-F238E27FC236}">
              <a16:creationId xmlns:a16="http://schemas.microsoft.com/office/drawing/2014/main" id="{17506605-DE7C-4194-AC47-1CC24E4AE8DB}"/>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468600" y="14382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567</xdr:row>
      <xdr:rowOff>0</xdr:rowOff>
    </xdr:from>
    <xdr:ext cx="152400" cy="152400"/>
    <xdr:pic>
      <xdr:nvPicPr>
        <xdr:cNvPr id="452" name="Immagine 451" descr="http://demaco.consob/ArchiflowWeb/images/indicator.gif">
          <a:extLst>
            <a:ext uri="{FF2B5EF4-FFF2-40B4-BE49-F238E27FC236}">
              <a16:creationId xmlns:a16="http://schemas.microsoft.com/office/drawing/2014/main" id="{232EB7AB-2C7E-42A1-9A98-B0AD8D9BF874}"/>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468600" y="14382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567</xdr:row>
      <xdr:rowOff>0</xdr:rowOff>
    </xdr:from>
    <xdr:ext cx="152400" cy="152400"/>
    <xdr:pic>
      <xdr:nvPicPr>
        <xdr:cNvPr id="453" name="Immagine 452" descr="http://demaco.consob/ArchiflowWeb/images/indicator.gif">
          <a:extLst>
            <a:ext uri="{FF2B5EF4-FFF2-40B4-BE49-F238E27FC236}">
              <a16:creationId xmlns:a16="http://schemas.microsoft.com/office/drawing/2014/main" id="{C689B1B3-4F76-4377-AA66-D89258EC6ACC}"/>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468600" y="14382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567</xdr:row>
      <xdr:rowOff>0</xdr:rowOff>
    </xdr:from>
    <xdr:ext cx="152400" cy="152400"/>
    <xdr:pic>
      <xdr:nvPicPr>
        <xdr:cNvPr id="454" name="Immagine 453" descr="http://demaco.consob/ArchiflowWeb/images/indicator.gif">
          <a:extLst>
            <a:ext uri="{FF2B5EF4-FFF2-40B4-BE49-F238E27FC236}">
              <a16:creationId xmlns:a16="http://schemas.microsoft.com/office/drawing/2014/main" id="{638FF0FC-A26B-4CEE-A338-BE4F2F2A08CF}"/>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468600" y="14382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567</xdr:row>
      <xdr:rowOff>0</xdr:rowOff>
    </xdr:from>
    <xdr:ext cx="152400" cy="152400"/>
    <xdr:pic>
      <xdr:nvPicPr>
        <xdr:cNvPr id="455" name="Immagine 454" descr="http://demaco.consob/ArchiflowWeb/images/indicator.gif">
          <a:extLst>
            <a:ext uri="{FF2B5EF4-FFF2-40B4-BE49-F238E27FC236}">
              <a16:creationId xmlns:a16="http://schemas.microsoft.com/office/drawing/2014/main" id="{45155CD5-C25D-4F3B-875A-A93E8BE91DB7}"/>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468600" y="14382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567</xdr:row>
      <xdr:rowOff>0</xdr:rowOff>
    </xdr:from>
    <xdr:ext cx="152400" cy="152400"/>
    <xdr:pic>
      <xdr:nvPicPr>
        <xdr:cNvPr id="456" name="Immagine 455" descr="http://demaco.consob/ArchiflowWeb/images/indicator.gif">
          <a:extLst>
            <a:ext uri="{FF2B5EF4-FFF2-40B4-BE49-F238E27FC236}">
              <a16:creationId xmlns:a16="http://schemas.microsoft.com/office/drawing/2014/main" id="{724CCC5E-A4D3-408F-8A6C-D2468D6BED39}"/>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468600" y="14382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567</xdr:row>
      <xdr:rowOff>0</xdr:rowOff>
    </xdr:from>
    <xdr:ext cx="152400" cy="152400"/>
    <xdr:pic>
      <xdr:nvPicPr>
        <xdr:cNvPr id="457" name="Immagine 456" descr="http://demaco.consob/ArchiflowWeb/images/indicator.gif">
          <a:extLst>
            <a:ext uri="{FF2B5EF4-FFF2-40B4-BE49-F238E27FC236}">
              <a16:creationId xmlns:a16="http://schemas.microsoft.com/office/drawing/2014/main" id="{CAD6EB9E-F7F4-4D7E-8CC5-A9049BB44B96}"/>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468600" y="14382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567</xdr:row>
      <xdr:rowOff>0</xdr:rowOff>
    </xdr:from>
    <xdr:ext cx="152400" cy="152400"/>
    <xdr:pic>
      <xdr:nvPicPr>
        <xdr:cNvPr id="458" name="Immagine 457" descr="http://demaco.consob/ArchiflowWeb/images/indicator.gif">
          <a:extLst>
            <a:ext uri="{FF2B5EF4-FFF2-40B4-BE49-F238E27FC236}">
              <a16:creationId xmlns:a16="http://schemas.microsoft.com/office/drawing/2014/main" id="{EF142160-C651-4327-85F7-6DD8D164D9B2}"/>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468600" y="14382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567</xdr:row>
      <xdr:rowOff>0</xdr:rowOff>
    </xdr:from>
    <xdr:ext cx="152400" cy="152400"/>
    <xdr:pic>
      <xdr:nvPicPr>
        <xdr:cNvPr id="459" name="Immagine 458" descr="http://demaco.consob/ArchiflowWeb/images/indicator.gif">
          <a:extLst>
            <a:ext uri="{FF2B5EF4-FFF2-40B4-BE49-F238E27FC236}">
              <a16:creationId xmlns:a16="http://schemas.microsoft.com/office/drawing/2014/main" id="{805B62BB-EF4B-4C3B-8041-284BA239D9E7}"/>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468600" y="14382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567</xdr:row>
      <xdr:rowOff>0</xdr:rowOff>
    </xdr:from>
    <xdr:ext cx="152400" cy="152400"/>
    <xdr:pic>
      <xdr:nvPicPr>
        <xdr:cNvPr id="460" name="Immagine 459" descr="http://demaco.consob/ArchiflowWeb/images/indicator.gif">
          <a:extLst>
            <a:ext uri="{FF2B5EF4-FFF2-40B4-BE49-F238E27FC236}">
              <a16:creationId xmlns:a16="http://schemas.microsoft.com/office/drawing/2014/main" id="{E0A2E4B8-BCBF-460C-B773-AA09D0471F57}"/>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468600" y="14382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567</xdr:row>
      <xdr:rowOff>0</xdr:rowOff>
    </xdr:from>
    <xdr:ext cx="152400" cy="152400"/>
    <xdr:pic>
      <xdr:nvPicPr>
        <xdr:cNvPr id="461" name="Immagine 460" descr="http://demaco.consob/ArchiflowWeb/images/indicator.gif">
          <a:extLst>
            <a:ext uri="{FF2B5EF4-FFF2-40B4-BE49-F238E27FC236}">
              <a16:creationId xmlns:a16="http://schemas.microsoft.com/office/drawing/2014/main" id="{66001D23-9C76-4147-9685-A5075804394A}"/>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468600" y="14382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567</xdr:row>
      <xdr:rowOff>0</xdr:rowOff>
    </xdr:from>
    <xdr:ext cx="152400" cy="152400"/>
    <xdr:pic>
      <xdr:nvPicPr>
        <xdr:cNvPr id="462" name="Immagine 461" descr="http://demaco.consob/ArchiflowWeb/images/indicator.gif">
          <a:extLst>
            <a:ext uri="{FF2B5EF4-FFF2-40B4-BE49-F238E27FC236}">
              <a16:creationId xmlns:a16="http://schemas.microsoft.com/office/drawing/2014/main" id="{69AACB9B-6769-40E8-BA0F-6D1B532220C3}"/>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468600" y="14382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567</xdr:row>
      <xdr:rowOff>0</xdr:rowOff>
    </xdr:from>
    <xdr:ext cx="152400" cy="152400"/>
    <xdr:pic>
      <xdr:nvPicPr>
        <xdr:cNvPr id="463" name="Immagine 462" descr="http://demaco.consob/ArchiflowWeb/images/indicator.gif">
          <a:extLst>
            <a:ext uri="{FF2B5EF4-FFF2-40B4-BE49-F238E27FC236}">
              <a16:creationId xmlns:a16="http://schemas.microsoft.com/office/drawing/2014/main" id="{11421B28-C8C0-4E8C-96B8-ACB6582C6281}"/>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468600" y="14382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567</xdr:row>
      <xdr:rowOff>0</xdr:rowOff>
    </xdr:from>
    <xdr:ext cx="152400" cy="152400"/>
    <xdr:pic>
      <xdr:nvPicPr>
        <xdr:cNvPr id="464" name="Immagine 463" descr="http://demaco.consob/ArchiflowWeb/images/indicator.gif">
          <a:extLst>
            <a:ext uri="{FF2B5EF4-FFF2-40B4-BE49-F238E27FC236}">
              <a16:creationId xmlns:a16="http://schemas.microsoft.com/office/drawing/2014/main" id="{50B005E4-24E6-4438-8D8E-FA7854393C89}"/>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250900" y="14382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567</xdr:row>
      <xdr:rowOff>0</xdr:rowOff>
    </xdr:from>
    <xdr:ext cx="152400" cy="152400"/>
    <xdr:pic>
      <xdr:nvPicPr>
        <xdr:cNvPr id="465" name="Immagine 464" descr="http://demaco.consob/ArchiflowWeb/images/indicator.gif">
          <a:extLst>
            <a:ext uri="{FF2B5EF4-FFF2-40B4-BE49-F238E27FC236}">
              <a16:creationId xmlns:a16="http://schemas.microsoft.com/office/drawing/2014/main" id="{C36EB761-4661-44FA-B8AE-4FD975FF832F}"/>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250900" y="14382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567</xdr:row>
      <xdr:rowOff>0</xdr:rowOff>
    </xdr:from>
    <xdr:ext cx="152400" cy="152400"/>
    <xdr:pic>
      <xdr:nvPicPr>
        <xdr:cNvPr id="466" name="Immagine 465" descr="http://demaco.consob/ArchiflowWeb/images/indicator.gif">
          <a:extLst>
            <a:ext uri="{FF2B5EF4-FFF2-40B4-BE49-F238E27FC236}">
              <a16:creationId xmlns:a16="http://schemas.microsoft.com/office/drawing/2014/main" id="{F224853E-251F-413E-9601-3E65A6BA7187}"/>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250900" y="14382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567</xdr:row>
      <xdr:rowOff>0</xdr:rowOff>
    </xdr:from>
    <xdr:ext cx="152400" cy="152400"/>
    <xdr:pic>
      <xdr:nvPicPr>
        <xdr:cNvPr id="467" name="Immagine 466" descr="http://demaco.consob/ArchiflowWeb/images/indicator.gif">
          <a:extLst>
            <a:ext uri="{FF2B5EF4-FFF2-40B4-BE49-F238E27FC236}">
              <a16:creationId xmlns:a16="http://schemas.microsoft.com/office/drawing/2014/main" id="{98B7A66A-EBED-496C-9C06-95C93BB6994C}"/>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250900" y="14382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567</xdr:row>
      <xdr:rowOff>0</xdr:rowOff>
    </xdr:from>
    <xdr:ext cx="152400" cy="152400"/>
    <xdr:pic>
      <xdr:nvPicPr>
        <xdr:cNvPr id="468" name="Immagine 467" descr="http://demaco.consob/ArchiflowWeb/images/indicator.gif">
          <a:extLst>
            <a:ext uri="{FF2B5EF4-FFF2-40B4-BE49-F238E27FC236}">
              <a16:creationId xmlns:a16="http://schemas.microsoft.com/office/drawing/2014/main" id="{9496A12D-1821-4314-8082-D0984F102278}"/>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250900" y="14382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567</xdr:row>
      <xdr:rowOff>0</xdr:rowOff>
    </xdr:from>
    <xdr:ext cx="152400" cy="152400"/>
    <xdr:pic>
      <xdr:nvPicPr>
        <xdr:cNvPr id="469" name="Immagine 468" descr="http://demaco.consob/ArchiflowWeb/images/indicator.gif">
          <a:extLst>
            <a:ext uri="{FF2B5EF4-FFF2-40B4-BE49-F238E27FC236}">
              <a16:creationId xmlns:a16="http://schemas.microsoft.com/office/drawing/2014/main" id="{7DC653BA-3DC0-4AD3-A366-C7B3EB7C9095}"/>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250900" y="14382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567</xdr:row>
      <xdr:rowOff>0</xdr:rowOff>
    </xdr:from>
    <xdr:ext cx="152400" cy="152400"/>
    <xdr:pic>
      <xdr:nvPicPr>
        <xdr:cNvPr id="470" name="Immagine 469" descr="http://demaco.consob/ArchiflowWeb/images/indicator.gif">
          <a:extLst>
            <a:ext uri="{FF2B5EF4-FFF2-40B4-BE49-F238E27FC236}">
              <a16:creationId xmlns:a16="http://schemas.microsoft.com/office/drawing/2014/main" id="{E9BC602E-8711-4407-8595-137727F3D252}"/>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250900" y="14382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567</xdr:row>
      <xdr:rowOff>0</xdr:rowOff>
    </xdr:from>
    <xdr:ext cx="152400" cy="152400"/>
    <xdr:pic>
      <xdr:nvPicPr>
        <xdr:cNvPr id="471" name="Immagine 470" descr="http://demaco.consob/ArchiflowWeb/images/indicator.gif">
          <a:extLst>
            <a:ext uri="{FF2B5EF4-FFF2-40B4-BE49-F238E27FC236}">
              <a16:creationId xmlns:a16="http://schemas.microsoft.com/office/drawing/2014/main" id="{99040BF2-4C38-4E91-A141-7518F95264BB}"/>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250900" y="14382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567</xdr:row>
      <xdr:rowOff>0</xdr:rowOff>
    </xdr:from>
    <xdr:ext cx="152400" cy="152400"/>
    <xdr:pic>
      <xdr:nvPicPr>
        <xdr:cNvPr id="472" name="Immagine 471" descr="http://demaco.consob/ArchiflowWeb/images/indicator.gif">
          <a:extLst>
            <a:ext uri="{FF2B5EF4-FFF2-40B4-BE49-F238E27FC236}">
              <a16:creationId xmlns:a16="http://schemas.microsoft.com/office/drawing/2014/main" id="{349F785A-8C24-490E-A49A-6EDFB5B9B0CD}"/>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250900" y="14382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567</xdr:row>
      <xdr:rowOff>0</xdr:rowOff>
    </xdr:from>
    <xdr:ext cx="152400" cy="152400"/>
    <xdr:pic>
      <xdr:nvPicPr>
        <xdr:cNvPr id="473" name="Immagine 472" descr="http://demaco.consob/ArchiflowWeb/images/indicator.gif">
          <a:extLst>
            <a:ext uri="{FF2B5EF4-FFF2-40B4-BE49-F238E27FC236}">
              <a16:creationId xmlns:a16="http://schemas.microsoft.com/office/drawing/2014/main" id="{6FC1DC0A-05F8-41C8-81D9-BB8BA201598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250900" y="14382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567</xdr:row>
      <xdr:rowOff>0</xdr:rowOff>
    </xdr:from>
    <xdr:ext cx="152400" cy="152400"/>
    <xdr:pic>
      <xdr:nvPicPr>
        <xdr:cNvPr id="474" name="Immagine 473" descr="http://demaco.consob/ArchiflowWeb/images/indicator.gif">
          <a:extLst>
            <a:ext uri="{FF2B5EF4-FFF2-40B4-BE49-F238E27FC236}">
              <a16:creationId xmlns:a16="http://schemas.microsoft.com/office/drawing/2014/main" id="{6A77B77D-CDFC-4376-A820-AE7A4D2563E2}"/>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250900" y="14382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567</xdr:row>
      <xdr:rowOff>0</xdr:rowOff>
    </xdr:from>
    <xdr:ext cx="152400" cy="152400"/>
    <xdr:pic>
      <xdr:nvPicPr>
        <xdr:cNvPr id="475" name="Immagine 474" descr="http://demaco.consob/ArchiflowWeb/images/indicator.gif">
          <a:extLst>
            <a:ext uri="{FF2B5EF4-FFF2-40B4-BE49-F238E27FC236}">
              <a16:creationId xmlns:a16="http://schemas.microsoft.com/office/drawing/2014/main" id="{A295489C-E800-47BD-9A1F-5594AF7FBB83}"/>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250900" y="14382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567</xdr:row>
      <xdr:rowOff>0</xdr:rowOff>
    </xdr:from>
    <xdr:ext cx="152400" cy="152400"/>
    <xdr:pic>
      <xdr:nvPicPr>
        <xdr:cNvPr id="476" name="Immagine 475" descr="http://demaco.consob/ArchiflowWeb/images/indicator.gif">
          <a:extLst>
            <a:ext uri="{FF2B5EF4-FFF2-40B4-BE49-F238E27FC236}">
              <a16:creationId xmlns:a16="http://schemas.microsoft.com/office/drawing/2014/main" id="{AEC12968-EA0D-4F8F-A3E9-D1D140EFA769}"/>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250900" y="14382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567</xdr:row>
      <xdr:rowOff>0</xdr:rowOff>
    </xdr:from>
    <xdr:ext cx="152400" cy="152400"/>
    <xdr:pic>
      <xdr:nvPicPr>
        <xdr:cNvPr id="477" name="Immagine 476" descr="http://demaco.consob/ArchiflowWeb/images/indicator.gif">
          <a:extLst>
            <a:ext uri="{FF2B5EF4-FFF2-40B4-BE49-F238E27FC236}">
              <a16:creationId xmlns:a16="http://schemas.microsoft.com/office/drawing/2014/main" id="{6AB55552-FA82-4C85-95F6-0DCB57F3A9D4}"/>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250900" y="14382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567</xdr:row>
      <xdr:rowOff>0</xdr:rowOff>
    </xdr:from>
    <xdr:ext cx="152400" cy="152400"/>
    <xdr:pic>
      <xdr:nvPicPr>
        <xdr:cNvPr id="478" name="Immagine 477" descr="http://demaco.consob/ArchiflowWeb/images/indicator.gif">
          <a:extLst>
            <a:ext uri="{FF2B5EF4-FFF2-40B4-BE49-F238E27FC236}">
              <a16:creationId xmlns:a16="http://schemas.microsoft.com/office/drawing/2014/main" id="{2EB79EDC-61D8-4365-945E-D71F03B5424C}"/>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250900" y="14382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567</xdr:row>
      <xdr:rowOff>0</xdr:rowOff>
    </xdr:from>
    <xdr:ext cx="152400" cy="152400"/>
    <xdr:pic>
      <xdr:nvPicPr>
        <xdr:cNvPr id="479" name="Immagine 478" descr="http://demaco.consob/ArchiflowWeb/images/indicator.gif">
          <a:extLst>
            <a:ext uri="{FF2B5EF4-FFF2-40B4-BE49-F238E27FC236}">
              <a16:creationId xmlns:a16="http://schemas.microsoft.com/office/drawing/2014/main" id="{C2FFEE4F-E35F-4A2F-B718-5585F80F862B}"/>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250900" y="14382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567</xdr:row>
      <xdr:rowOff>0</xdr:rowOff>
    </xdr:from>
    <xdr:ext cx="152400" cy="152400"/>
    <xdr:pic>
      <xdr:nvPicPr>
        <xdr:cNvPr id="480" name="Immagine 479" descr="http://demaco.consob/ArchiflowWeb/images/indicator.gif">
          <a:extLst>
            <a:ext uri="{FF2B5EF4-FFF2-40B4-BE49-F238E27FC236}">
              <a16:creationId xmlns:a16="http://schemas.microsoft.com/office/drawing/2014/main" id="{67B47927-558C-430A-8CA8-1898B5B037B3}"/>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250900" y="14382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567</xdr:row>
      <xdr:rowOff>0</xdr:rowOff>
    </xdr:from>
    <xdr:ext cx="152400" cy="152400"/>
    <xdr:pic>
      <xdr:nvPicPr>
        <xdr:cNvPr id="481" name="Immagine 480" descr="http://demaco.consob/ArchiflowWeb/images/indicator.gif">
          <a:extLst>
            <a:ext uri="{FF2B5EF4-FFF2-40B4-BE49-F238E27FC236}">
              <a16:creationId xmlns:a16="http://schemas.microsoft.com/office/drawing/2014/main" id="{4228FA50-E226-4807-AC50-A8042F0D7825}"/>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250900" y="14382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567</xdr:row>
      <xdr:rowOff>0</xdr:rowOff>
    </xdr:from>
    <xdr:ext cx="152400" cy="152400"/>
    <xdr:pic>
      <xdr:nvPicPr>
        <xdr:cNvPr id="482" name="Immagine 481" descr="http://demaco.consob/ArchiflowWeb/images/indicator.gif">
          <a:extLst>
            <a:ext uri="{FF2B5EF4-FFF2-40B4-BE49-F238E27FC236}">
              <a16:creationId xmlns:a16="http://schemas.microsoft.com/office/drawing/2014/main" id="{9C2ACE72-2BE4-4521-A09D-9495F77871C8}"/>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250900" y="14382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567</xdr:row>
      <xdr:rowOff>0</xdr:rowOff>
    </xdr:from>
    <xdr:ext cx="152400" cy="152400"/>
    <xdr:pic>
      <xdr:nvPicPr>
        <xdr:cNvPr id="483" name="Immagine 482" descr="http://demaco.consob/ArchiflowWeb/images/indicator.gif">
          <a:extLst>
            <a:ext uri="{FF2B5EF4-FFF2-40B4-BE49-F238E27FC236}">
              <a16:creationId xmlns:a16="http://schemas.microsoft.com/office/drawing/2014/main" id="{D3090958-5C0C-4D3B-9620-3103B2183F78}"/>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250900" y="14382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567</xdr:row>
      <xdr:rowOff>0</xdr:rowOff>
    </xdr:from>
    <xdr:ext cx="152400" cy="152400"/>
    <xdr:pic>
      <xdr:nvPicPr>
        <xdr:cNvPr id="484" name="Immagine 483" descr="http://demaco.consob/ArchiflowWeb/images/indicator.gif">
          <a:extLst>
            <a:ext uri="{FF2B5EF4-FFF2-40B4-BE49-F238E27FC236}">
              <a16:creationId xmlns:a16="http://schemas.microsoft.com/office/drawing/2014/main" id="{3B17563F-94F0-4672-B685-E07B6B6C06B9}"/>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250900" y="14382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567</xdr:row>
      <xdr:rowOff>0</xdr:rowOff>
    </xdr:from>
    <xdr:ext cx="152400" cy="152400"/>
    <xdr:pic>
      <xdr:nvPicPr>
        <xdr:cNvPr id="485" name="Immagine 484" descr="http://demaco.consob/ArchiflowWeb/images/indicator.gif">
          <a:extLst>
            <a:ext uri="{FF2B5EF4-FFF2-40B4-BE49-F238E27FC236}">
              <a16:creationId xmlns:a16="http://schemas.microsoft.com/office/drawing/2014/main" id="{51591B34-BB95-4EB8-92CF-9128456AA904}"/>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250900" y="14382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632</xdr:row>
      <xdr:rowOff>0</xdr:rowOff>
    </xdr:from>
    <xdr:ext cx="152400" cy="152400"/>
    <xdr:pic>
      <xdr:nvPicPr>
        <xdr:cNvPr id="398" name="Immagine 397" descr="http://demaco.consob/ArchiflowWeb/images/indicator.gif">
          <a:extLst>
            <a:ext uri="{FF2B5EF4-FFF2-40B4-BE49-F238E27FC236}">
              <a16:creationId xmlns:a16="http://schemas.microsoft.com/office/drawing/2014/main" id="{87E16E0B-3929-4635-BD52-C982512EE4D4}"/>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632</xdr:row>
      <xdr:rowOff>0</xdr:rowOff>
    </xdr:from>
    <xdr:ext cx="152400" cy="152400"/>
    <xdr:pic>
      <xdr:nvPicPr>
        <xdr:cNvPr id="399" name="Immagine 398" descr="http://demaco.consob/ArchiflowWeb/images/indicator.gif">
          <a:extLst>
            <a:ext uri="{FF2B5EF4-FFF2-40B4-BE49-F238E27FC236}">
              <a16:creationId xmlns:a16="http://schemas.microsoft.com/office/drawing/2014/main" id="{AD399B6E-A961-45E1-BC61-D582BF7C7EB2}"/>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632</xdr:row>
      <xdr:rowOff>0</xdr:rowOff>
    </xdr:from>
    <xdr:ext cx="152400" cy="152400"/>
    <xdr:pic>
      <xdr:nvPicPr>
        <xdr:cNvPr id="400" name="Immagine 399" descr="http://demaco.consob/ArchiflowWeb/images/indicator.gif">
          <a:extLst>
            <a:ext uri="{FF2B5EF4-FFF2-40B4-BE49-F238E27FC236}">
              <a16:creationId xmlns:a16="http://schemas.microsoft.com/office/drawing/2014/main" id="{89EA413F-0326-4CE5-9E44-E35A3D3ED2C5}"/>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632</xdr:row>
      <xdr:rowOff>0</xdr:rowOff>
    </xdr:from>
    <xdr:ext cx="152400" cy="152400"/>
    <xdr:pic>
      <xdr:nvPicPr>
        <xdr:cNvPr id="401" name="Immagine 400" descr="http://demaco.consob/ArchiflowWeb/images/indicator.gif">
          <a:extLst>
            <a:ext uri="{FF2B5EF4-FFF2-40B4-BE49-F238E27FC236}">
              <a16:creationId xmlns:a16="http://schemas.microsoft.com/office/drawing/2014/main" id="{5ED6ED16-1110-47EF-A75A-6D81FE16FBBB}"/>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632</xdr:row>
      <xdr:rowOff>0</xdr:rowOff>
    </xdr:from>
    <xdr:ext cx="152400" cy="152400"/>
    <xdr:pic>
      <xdr:nvPicPr>
        <xdr:cNvPr id="402" name="Immagine 401" descr="http://demaco.consob/ArchiflowWeb/images/indicator.gif">
          <a:extLst>
            <a:ext uri="{FF2B5EF4-FFF2-40B4-BE49-F238E27FC236}">
              <a16:creationId xmlns:a16="http://schemas.microsoft.com/office/drawing/2014/main" id="{E8E56748-DAC5-4867-989F-D740964F4734}"/>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632</xdr:row>
      <xdr:rowOff>0</xdr:rowOff>
    </xdr:from>
    <xdr:ext cx="152400" cy="152400"/>
    <xdr:pic>
      <xdr:nvPicPr>
        <xdr:cNvPr id="403" name="Immagine 402" descr="http://demaco.consob/ArchiflowWeb/images/indicator.gif">
          <a:extLst>
            <a:ext uri="{FF2B5EF4-FFF2-40B4-BE49-F238E27FC236}">
              <a16:creationId xmlns:a16="http://schemas.microsoft.com/office/drawing/2014/main" id="{71A6D6AF-2B4C-481D-8916-110D8F4DF0EB}"/>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632</xdr:row>
      <xdr:rowOff>0</xdr:rowOff>
    </xdr:from>
    <xdr:ext cx="152400" cy="152400"/>
    <xdr:pic>
      <xdr:nvPicPr>
        <xdr:cNvPr id="404" name="Immagine 403" descr="http://demaco.consob/ArchiflowWeb/images/indicator.gif">
          <a:extLst>
            <a:ext uri="{FF2B5EF4-FFF2-40B4-BE49-F238E27FC236}">
              <a16:creationId xmlns:a16="http://schemas.microsoft.com/office/drawing/2014/main" id="{F39C2A37-AC56-4015-A999-68E0FCBB33C6}"/>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632</xdr:row>
      <xdr:rowOff>0</xdr:rowOff>
    </xdr:from>
    <xdr:ext cx="152400" cy="152400"/>
    <xdr:pic>
      <xdr:nvPicPr>
        <xdr:cNvPr id="405" name="Immagine 404" descr="http://demaco.consob/ArchiflowWeb/images/indicator.gif">
          <a:extLst>
            <a:ext uri="{FF2B5EF4-FFF2-40B4-BE49-F238E27FC236}">
              <a16:creationId xmlns:a16="http://schemas.microsoft.com/office/drawing/2014/main" id="{F0DF5D89-ADEC-4F8A-A077-ECF64EEA8EAC}"/>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632</xdr:row>
      <xdr:rowOff>0</xdr:rowOff>
    </xdr:from>
    <xdr:ext cx="152400" cy="152400"/>
    <xdr:pic>
      <xdr:nvPicPr>
        <xdr:cNvPr id="406" name="Immagine 405" descr="http://demaco.consob/ArchiflowWeb/images/indicator.gif">
          <a:extLst>
            <a:ext uri="{FF2B5EF4-FFF2-40B4-BE49-F238E27FC236}">
              <a16:creationId xmlns:a16="http://schemas.microsoft.com/office/drawing/2014/main" id="{7ACB0783-2AA4-4DD1-9F4B-AC05E1FEC078}"/>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632</xdr:row>
      <xdr:rowOff>0</xdr:rowOff>
    </xdr:from>
    <xdr:ext cx="152400" cy="152400"/>
    <xdr:pic>
      <xdr:nvPicPr>
        <xdr:cNvPr id="407" name="Immagine 406" descr="http://demaco.consob/ArchiflowWeb/images/indicator.gif">
          <a:extLst>
            <a:ext uri="{FF2B5EF4-FFF2-40B4-BE49-F238E27FC236}">
              <a16:creationId xmlns:a16="http://schemas.microsoft.com/office/drawing/2014/main" id="{A969EFB9-9DA6-4A69-A581-809DAE4F9173}"/>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632</xdr:row>
      <xdr:rowOff>0</xdr:rowOff>
    </xdr:from>
    <xdr:ext cx="152400" cy="152400"/>
    <xdr:pic>
      <xdr:nvPicPr>
        <xdr:cNvPr id="408" name="Immagine 407" descr="http://demaco.consob/ArchiflowWeb/images/indicator.gif">
          <a:extLst>
            <a:ext uri="{FF2B5EF4-FFF2-40B4-BE49-F238E27FC236}">
              <a16:creationId xmlns:a16="http://schemas.microsoft.com/office/drawing/2014/main" id="{2CFDC3AE-928D-40BD-AF76-D2D5BAA122D7}"/>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632</xdr:row>
      <xdr:rowOff>0</xdr:rowOff>
    </xdr:from>
    <xdr:ext cx="152400" cy="152400"/>
    <xdr:pic>
      <xdr:nvPicPr>
        <xdr:cNvPr id="409" name="Immagine 408" descr="http://demaco.consob/ArchiflowWeb/images/indicator.gif">
          <a:extLst>
            <a:ext uri="{FF2B5EF4-FFF2-40B4-BE49-F238E27FC236}">
              <a16:creationId xmlns:a16="http://schemas.microsoft.com/office/drawing/2014/main" id="{706005F2-68A2-4666-B375-D830BA120CE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632</xdr:row>
      <xdr:rowOff>0</xdr:rowOff>
    </xdr:from>
    <xdr:ext cx="152400" cy="152400"/>
    <xdr:pic>
      <xdr:nvPicPr>
        <xdr:cNvPr id="410" name="Immagine 409" descr="http://demaco.consob/ArchiflowWeb/images/indicator.gif">
          <a:extLst>
            <a:ext uri="{FF2B5EF4-FFF2-40B4-BE49-F238E27FC236}">
              <a16:creationId xmlns:a16="http://schemas.microsoft.com/office/drawing/2014/main" id="{DF9A01F2-6DA1-4BBA-8358-58FFE9C04A53}"/>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632</xdr:row>
      <xdr:rowOff>0</xdr:rowOff>
    </xdr:from>
    <xdr:ext cx="152400" cy="152400"/>
    <xdr:pic>
      <xdr:nvPicPr>
        <xdr:cNvPr id="411" name="Immagine 410" descr="http://demaco.consob/ArchiflowWeb/images/indicator.gif">
          <a:extLst>
            <a:ext uri="{FF2B5EF4-FFF2-40B4-BE49-F238E27FC236}">
              <a16:creationId xmlns:a16="http://schemas.microsoft.com/office/drawing/2014/main" id="{88B9DF0E-4764-43D7-BE74-D0F7C4FD68C9}"/>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632</xdr:row>
      <xdr:rowOff>0</xdr:rowOff>
    </xdr:from>
    <xdr:ext cx="152400" cy="152400"/>
    <xdr:pic>
      <xdr:nvPicPr>
        <xdr:cNvPr id="412" name="Immagine 411" descr="http://demaco.consob/ArchiflowWeb/images/indicator.gif">
          <a:extLst>
            <a:ext uri="{FF2B5EF4-FFF2-40B4-BE49-F238E27FC236}">
              <a16:creationId xmlns:a16="http://schemas.microsoft.com/office/drawing/2014/main" id="{054FFF10-DD83-446E-B8F7-051D9FA99F2C}"/>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632</xdr:row>
      <xdr:rowOff>0</xdr:rowOff>
    </xdr:from>
    <xdr:ext cx="152400" cy="152400"/>
    <xdr:pic>
      <xdr:nvPicPr>
        <xdr:cNvPr id="413" name="Immagine 412" descr="http://demaco.consob/ArchiflowWeb/images/indicator.gif">
          <a:extLst>
            <a:ext uri="{FF2B5EF4-FFF2-40B4-BE49-F238E27FC236}">
              <a16:creationId xmlns:a16="http://schemas.microsoft.com/office/drawing/2014/main" id="{A958C673-CDD3-4112-9849-33A9E98745BB}"/>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632</xdr:row>
      <xdr:rowOff>0</xdr:rowOff>
    </xdr:from>
    <xdr:ext cx="152400" cy="152400"/>
    <xdr:pic>
      <xdr:nvPicPr>
        <xdr:cNvPr id="414" name="Immagine 413" descr="http://demaco.consob/ArchiflowWeb/images/indicator.gif">
          <a:extLst>
            <a:ext uri="{FF2B5EF4-FFF2-40B4-BE49-F238E27FC236}">
              <a16:creationId xmlns:a16="http://schemas.microsoft.com/office/drawing/2014/main" id="{557457C7-4E5E-440C-B4F0-A083C9F8B65D}"/>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632</xdr:row>
      <xdr:rowOff>0</xdr:rowOff>
    </xdr:from>
    <xdr:ext cx="152400" cy="152400"/>
    <xdr:pic>
      <xdr:nvPicPr>
        <xdr:cNvPr id="415" name="Immagine 414" descr="http://demaco.consob/ArchiflowWeb/images/indicator.gif">
          <a:extLst>
            <a:ext uri="{FF2B5EF4-FFF2-40B4-BE49-F238E27FC236}">
              <a16:creationId xmlns:a16="http://schemas.microsoft.com/office/drawing/2014/main" id="{8EB30522-C562-4957-800D-C47FF839AE93}"/>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632</xdr:row>
      <xdr:rowOff>0</xdr:rowOff>
    </xdr:from>
    <xdr:ext cx="152400" cy="152400"/>
    <xdr:pic>
      <xdr:nvPicPr>
        <xdr:cNvPr id="416" name="Immagine 415" descr="http://demaco.consob/ArchiflowWeb/images/indicator.gif">
          <a:extLst>
            <a:ext uri="{FF2B5EF4-FFF2-40B4-BE49-F238E27FC236}">
              <a16:creationId xmlns:a16="http://schemas.microsoft.com/office/drawing/2014/main" id="{3FBA1882-DBFA-47CE-8BA1-51AA8471CE91}"/>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632</xdr:row>
      <xdr:rowOff>0</xdr:rowOff>
    </xdr:from>
    <xdr:ext cx="152400" cy="152400"/>
    <xdr:pic>
      <xdr:nvPicPr>
        <xdr:cNvPr id="417" name="Immagine 416" descr="http://demaco.consob/ArchiflowWeb/images/indicator.gif">
          <a:extLst>
            <a:ext uri="{FF2B5EF4-FFF2-40B4-BE49-F238E27FC236}">
              <a16:creationId xmlns:a16="http://schemas.microsoft.com/office/drawing/2014/main" id="{5EC549C6-DC4F-4710-8DA2-567F456A7CC6}"/>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632</xdr:row>
      <xdr:rowOff>0</xdr:rowOff>
    </xdr:from>
    <xdr:ext cx="152400" cy="152400"/>
    <xdr:pic>
      <xdr:nvPicPr>
        <xdr:cNvPr id="418" name="Immagine 417" descr="http://demaco.consob/ArchiflowWeb/images/indicator.gif">
          <a:extLst>
            <a:ext uri="{FF2B5EF4-FFF2-40B4-BE49-F238E27FC236}">
              <a16:creationId xmlns:a16="http://schemas.microsoft.com/office/drawing/2014/main" id="{42FEEC6D-6AC4-4AB8-826D-F7B5354200AE}"/>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632</xdr:row>
      <xdr:rowOff>0</xdr:rowOff>
    </xdr:from>
    <xdr:ext cx="152400" cy="152400"/>
    <xdr:pic>
      <xdr:nvPicPr>
        <xdr:cNvPr id="419" name="Immagine 418" descr="http://demaco.consob/ArchiflowWeb/images/indicator.gif">
          <a:extLst>
            <a:ext uri="{FF2B5EF4-FFF2-40B4-BE49-F238E27FC236}">
              <a16:creationId xmlns:a16="http://schemas.microsoft.com/office/drawing/2014/main" id="{DEAD1211-B5FF-49E7-9F72-20805A74E4F8}"/>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632</xdr:row>
      <xdr:rowOff>0</xdr:rowOff>
    </xdr:from>
    <xdr:ext cx="152400" cy="152400"/>
    <xdr:pic>
      <xdr:nvPicPr>
        <xdr:cNvPr id="420" name="Immagine 419" descr="http://demaco.consob/ArchiflowWeb/images/indicator.gif">
          <a:extLst>
            <a:ext uri="{FF2B5EF4-FFF2-40B4-BE49-F238E27FC236}">
              <a16:creationId xmlns:a16="http://schemas.microsoft.com/office/drawing/2014/main" id="{3E809069-1614-4071-BA8D-630B4577E59E}"/>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632</xdr:row>
      <xdr:rowOff>0</xdr:rowOff>
    </xdr:from>
    <xdr:ext cx="152400" cy="152400"/>
    <xdr:pic>
      <xdr:nvPicPr>
        <xdr:cNvPr id="421" name="Immagine 420" descr="http://demaco.consob/ArchiflowWeb/images/indicator.gif">
          <a:extLst>
            <a:ext uri="{FF2B5EF4-FFF2-40B4-BE49-F238E27FC236}">
              <a16:creationId xmlns:a16="http://schemas.microsoft.com/office/drawing/2014/main" id="{E5B39050-33E0-4C0B-A914-356F7B4602B1}"/>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632</xdr:row>
      <xdr:rowOff>0</xdr:rowOff>
    </xdr:from>
    <xdr:ext cx="152400" cy="152400"/>
    <xdr:pic>
      <xdr:nvPicPr>
        <xdr:cNvPr id="422" name="Immagine 421" descr="http://demaco.consob/ArchiflowWeb/images/indicator.gif">
          <a:extLst>
            <a:ext uri="{FF2B5EF4-FFF2-40B4-BE49-F238E27FC236}">
              <a16:creationId xmlns:a16="http://schemas.microsoft.com/office/drawing/2014/main" id="{4E055290-73BA-462F-BC3C-2F96AF3D751A}"/>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632</xdr:row>
      <xdr:rowOff>0</xdr:rowOff>
    </xdr:from>
    <xdr:ext cx="152400" cy="152400"/>
    <xdr:pic>
      <xdr:nvPicPr>
        <xdr:cNvPr id="423" name="Immagine 422" descr="http://demaco.consob/ArchiflowWeb/images/indicator.gif">
          <a:extLst>
            <a:ext uri="{FF2B5EF4-FFF2-40B4-BE49-F238E27FC236}">
              <a16:creationId xmlns:a16="http://schemas.microsoft.com/office/drawing/2014/main" id="{FE5630F4-45BF-43B5-A9D0-069FEA181EC6}"/>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632</xdr:row>
      <xdr:rowOff>0</xdr:rowOff>
    </xdr:from>
    <xdr:ext cx="152400" cy="152400"/>
    <xdr:pic>
      <xdr:nvPicPr>
        <xdr:cNvPr id="424" name="Immagine 423" descr="http://demaco.consob/ArchiflowWeb/images/indicator.gif">
          <a:extLst>
            <a:ext uri="{FF2B5EF4-FFF2-40B4-BE49-F238E27FC236}">
              <a16:creationId xmlns:a16="http://schemas.microsoft.com/office/drawing/2014/main" id="{55F16E80-FCF7-49E6-829E-4183ACFCEFA3}"/>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632</xdr:row>
      <xdr:rowOff>0</xdr:rowOff>
    </xdr:from>
    <xdr:ext cx="152400" cy="152400"/>
    <xdr:pic>
      <xdr:nvPicPr>
        <xdr:cNvPr id="425" name="Immagine 424" descr="http://demaco.consob/ArchiflowWeb/images/indicator.gif">
          <a:extLst>
            <a:ext uri="{FF2B5EF4-FFF2-40B4-BE49-F238E27FC236}">
              <a16:creationId xmlns:a16="http://schemas.microsoft.com/office/drawing/2014/main" id="{AEDCA493-92CD-4DB1-AD87-457DCE3E5499}"/>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632</xdr:row>
      <xdr:rowOff>0</xdr:rowOff>
    </xdr:from>
    <xdr:ext cx="152400" cy="152400"/>
    <xdr:pic>
      <xdr:nvPicPr>
        <xdr:cNvPr id="426" name="Immagine 425" descr="http://demaco.consob/ArchiflowWeb/images/indicator.gif">
          <a:extLst>
            <a:ext uri="{FF2B5EF4-FFF2-40B4-BE49-F238E27FC236}">
              <a16:creationId xmlns:a16="http://schemas.microsoft.com/office/drawing/2014/main" id="{DF9813EE-F932-4971-AF9A-4C0212164971}"/>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632</xdr:row>
      <xdr:rowOff>0</xdr:rowOff>
    </xdr:from>
    <xdr:ext cx="152400" cy="152400"/>
    <xdr:pic>
      <xdr:nvPicPr>
        <xdr:cNvPr id="427" name="Immagine 426" descr="http://demaco.consob/ArchiflowWeb/images/indicator.gif">
          <a:extLst>
            <a:ext uri="{FF2B5EF4-FFF2-40B4-BE49-F238E27FC236}">
              <a16:creationId xmlns:a16="http://schemas.microsoft.com/office/drawing/2014/main" id="{C2BA193F-4120-43C7-82AA-6AA836F95E33}"/>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632</xdr:row>
      <xdr:rowOff>0</xdr:rowOff>
    </xdr:from>
    <xdr:ext cx="152400" cy="152400"/>
    <xdr:pic>
      <xdr:nvPicPr>
        <xdr:cNvPr id="428" name="Immagine 427" descr="http://demaco.consob/ArchiflowWeb/images/indicator.gif">
          <a:extLst>
            <a:ext uri="{FF2B5EF4-FFF2-40B4-BE49-F238E27FC236}">
              <a16:creationId xmlns:a16="http://schemas.microsoft.com/office/drawing/2014/main" id="{256A8E64-7757-45B9-95BF-81E18DB612F4}"/>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632</xdr:row>
      <xdr:rowOff>0</xdr:rowOff>
    </xdr:from>
    <xdr:ext cx="152400" cy="152400"/>
    <xdr:pic>
      <xdr:nvPicPr>
        <xdr:cNvPr id="429" name="Immagine 428" descr="http://demaco.consob/ArchiflowWeb/images/indicator.gif">
          <a:extLst>
            <a:ext uri="{FF2B5EF4-FFF2-40B4-BE49-F238E27FC236}">
              <a16:creationId xmlns:a16="http://schemas.microsoft.com/office/drawing/2014/main" id="{46DBE9A6-68CF-4277-A326-35D1201204FA}"/>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632</xdr:row>
      <xdr:rowOff>0</xdr:rowOff>
    </xdr:from>
    <xdr:ext cx="152400" cy="152400"/>
    <xdr:pic>
      <xdr:nvPicPr>
        <xdr:cNvPr id="430" name="Immagine 429" descr="http://demaco.consob/ArchiflowWeb/images/indicator.gif">
          <a:extLst>
            <a:ext uri="{FF2B5EF4-FFF2-40B4-BE49-F238E27FC236}">
              <a16:creationId xmlns:a16="http://schemas.microsoft.com/office/drawing/2014/main" id="{8455931D-9424-4791-A0A8-C517DBDEFC7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632</xdr:row>
      <xdr:rowOff>0</xdr:rowOff>
    </xdr:from>
    <xdr:ext cx="152400" cy="152400"/>
    <xdr:pic>
      <xdr:nvPicPr>
        <xdr:cNvPr id="431" name="Immagine 430" descr="http://demaco.consob/ArchiflowWeb/images/indicator.gif">
          <a:extLst>
            <a:ext uri="{FF2B5EF4-FFF2-40B4-BE49-F238E27FC236}">
              <a16:creationId xmlns:a16="http://schemas.microsoft.com/office/drawing/2014/main" id="{4D6658F4-A762-4632-A54C-66B0CA6CF0FF}"/>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632</xdr:row>
      <xdr:rowOff>0</xdr:rowOff>
    </xdr:from>
    <xdr:ext cx="152400" cy="152400"/>
    <xdr:pic>
      <xdr:nvPicPr>
        <xdr:cNvPr id="432" name="Immagine 431" descr="http://demaco.consob/ArchiflowWeb/images/indicator.gif">
          <a:extLst>
            <a:ext uri="{FF2B5EF4-FFF2-40B4-BE49-F238E27FC236}">
              <a16:creationId xmlns:a16="http://schemas.microsoft.com/office/drawing/2014/main" id="{402565C0-9E89-4EE3-AFD1-9E844B4E4595}"/>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632</xdr:row>
      <xdr:rowOff>0</xdr:rowOff>
    </xdr:from>
    <xdr:ext cx="152400" cy="152400"/>
    <xdr:pic>
      <xdr:nvPicPr>
        <xdr:cNvPr id="433" name="Immagine 432" descr="http://demaco.consob/ArchiflowWeb/images/indicator.gif">
          <a:extLst>
            <a:ext uri="{FF2B5EF4-FFF2-40B4-BE49-F238E27FC236}">
              <a16:creationId xmlns:a16="http://schemas.microsoft.com/office/drawing/2014/main" id="{E6865459-482A-4DEF-85AD-68AEB68E0DF9}"/>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632</xdr:row>
      <xdr:rowOff>0</xdr:rowOff>
    </xdr:from>
    <xdr:ext cx="152400" cy="152400"/>
    <xdr:pic>
      <xdr:nvPicPr>
        <xdr:cNvPr id="434" name="Immagine 433" descr="http://demaco.consob/ArchiflowWeb/images/indicator.gif">
          <a:extLst>
            <a:ext uri="{FF2B5EF4-FFF2-40B4-BE49-F238E27FC236}">
              <a16:creationId xmlns:a16="http://schemas.microsoft.com/office/drawing/2014/main" id="{DFB41004-DB73-481A-95E3-D8FEF740A3B1}"/>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632</xdr:row>
      <xdr:rowOff>0</xdr:rowOff>
    </xdr:from>
    <xdr:ext cx="152400" cy="152400"/>
    <xdr:pic>
      <xdr:nvPicPr>
        <xdr:cNvPr id="435" name="Immagine 434" descr="http://demaco.consob/ArchiflowWeb/images/indicator.gif">
          <a:extLst>
            <a:ext uri="{FF2B5EF4-FFF2-40B4-BE49-F238E27FC236}">
              <a16:creationId xmlns:a16="http://schemas.microsoft.com/office/drawing/2014/main" id="{CCBA968B-B889-4F11-B0CA-D75CA51DF8F2}"/>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632</xdr:row>
      <xdr:rowOff>0</xdr:rowOff>
    </xdr:from>
    <xdr:ext cx="152400" cy="152400"/>
    <xdr:pic>
      <xdr:nvPicPr>
        <xdr:cNvPr id="436" name="Immagine 435" descr="http://demaco.consob/ArchiflowWeb/images/indicator.gif">
          <a:extLst>
            <a:ext uri="{FF2B5EF4-FFF2-40B4-BE49-F238E27FC236}">
              <a16:creationId xmlns:a16="http://schemas.microsoft.com/office/drawing/2014/main" id="{E332DC1A-D631-4FAE-9213-C2BE3EB64A4B}"/>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632</xdr:row>
      <xdr:rowOff>0</xdr:rowOff>
    </xdr:from>
    <xdr:ext cx="152400" cy="152400"/>
    <xdr:pic>
      <xdr:nvPicPr>
        <xdr:cNvPr id="437" name="Immagine 436" descr="http://demaco.consob/ArchiflowWeb/images/indicator.gif">
          <a:extLst>
            <a:ext uri="{FF2B5EF4-FFF2-40B4-BE49-F238E27FC236}">
              <a16:creationId xmlns:a16="http://schemas.microsoft.com/office/drawing/2014/main" id="{C4D6DAE0-0B1F-44ED-9CF0-9CC482B64283}"/>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632</xdr:row>
      <xdr:rowOff>0</xdr:rowOff>
    </xdr:from>
    <xdr:ext cx="152400" cy="152400"/>
    <xdr:pic>
      <xdr:nvPicPr>
        <xdr:cNvPr id="438" name="Immagine 437" descr="http://demaco.consob/ArchiflowWeb/images/indicator.gif">
          <a:extLst>
            <a:ext uri="{FF2B5EF4-FFF2-40B4-BE49-F238E27FC236}">
              <a16:creationId xmlns:a16="http://schemas.microsoft.com/office/drawing/2014/main" id="{21D63C07-6FF6-4D9D-AB6B-344A021BB997}"/>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632</xdr:row>
      <xdr:rowOff>0</xdr:rowOff>
    </xdr:from>
    <xdr:ext cx="152400" cy="152400"/>
    <xdr:pic>
      <xdr:nvPicPr>
        <xdr:cNvPr id="439" name="Immagine 438" descr="http://demaco.consob/ArchiflowWeb/images/indicator.gif">
          <a:extLst>
            <a:ext uri="{FF2B5EF4-FFF2-40B4-BE49-F238E27FC236}">
              <a16:creationId xmlns:a16="http://schemas.microsoft.com/office/drawing/2014/main" id="{F960EDE8-781A-4D3C-8657-86AB2C2CC8E2}"/>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632</xdr:row>
      <xdr:rowOff>0</xdr:rowOff>
    </xdr:from>
    <xdr:ext cx="152400" cy="152400"/>
    <xdr:pic>
      <xdr:nvPicPr>
        <xdr:cNvPr id="440" name="Immagine 439" descr="http://demaco.consob/ArchiflowWeb/images/indicator.gif">
          <a:extLst>
            <a:ext uri="{FF2B5EF4-FFF2-40B4-BE49-F238E27FC236}">
              <a16:creationId xmlns:a16="http://schemas.microsoft.com/office/drawing/2014/main" id="{6245FEA2-D8EE-4C9A-AC76-0FA0148B3185}"/>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632</xdr:row>
      <xdr:rowOff>0</xdr:rowOff>
    </xdr:from>
    <xdr:ext cx="152400" cy="152400"/>
    <xdr:pic>
      <xdr:nvPicPr>
        <xdr:cNvPr id="441" name="Immagine 440" descr="http://demaco.consob/ArchiflowWeb/images/indicator.gif">
          <a:extLst>
            <a:ext uri="{FF2B5EF4-FFF2-40B4-BE49-F238E27FC236}">
              <a16:creationId xmlns:a16="http://schemas.microsoft.com/office/drawing/2014/main" id="{D4EA0F1E-9B4D-4D8D-989B-77C6C765F18E}"/>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632</xdr:row>
      <xdr:rowOff>0</xdr:rowOff>
    </xdr:from>
    <xdr:ext cx="152400" cy="152400"/>
    <xdr:pic>
      <xdr:nvPicPr>
        <xdr:cNvPr id="486" name="Immagine 485" descr="http://demaco.consob/ArchiflowWeb/images/indicator.gif">
          <a:extLst>
            <a:ext uri="{FF2B5EF4-FFF2-40B4-BE49-F238E27FC236}">
              <a16:creationId xmlns:a16="http://schemas.microsoft.com/office/drawing/2014/main" id="{4A71D41E-9DD2-48DE-9CCD-53E04EA010E2}"/>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632</xdr:row>
      <xdr:rowOff>0</xdr:rowOff>
    </xdr:from>
    <xdr:ext cx="152400" cy="152400"/>
    <xdr:pic>
      <xdr:nvPicPr>
        <xdr:cNvPr id="487" name="Immagine 486" descr="http://demaco.consob/ArchiflowWeb/images/indicator.gif">
          <a:extLst>
            <a:ext uri="{FF2B5EF4-FFF2-40B4-BE49-F238E27FC236}">
              <a16:creationId xmlns:a16="http://schemas.microsoft.com/office/drawing/2014/main" id="{683D270B-906A-489E-A0E0-C4734178CB43}"/>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632</xdr:row>
      <xdr:rowOff>0</xdr:rowOff>
    </xdr:from>
    <xdr:ext cx="152400" cy="152400"/>
    <xdr:pic>
      <xdr:nvPicPr>
        <xdr:cNvPr id="488" name="Immagine 487" descr="http://demaco.consob/ArchiflowWeb/images/indicator.gif">
          <a:extLst>
            <a:ext uri="{FF2B5EF4-FFF2-40B4-BE49-F238E27FC236}">
              <a16:creationId xmlns:a16="http://schemas.microsoft.com/office/drawing/2014/main" id="{8AB080BA-9847-4847-91BF-C36779C8C967}"/>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632</xdr:row>
      <xdr:rowOff>0</xdr:rowOff>
    </xdr:from>
    <xdr:ext cx="152400" cy="152400"/>
    <xdr:pic>
      <xdr:nvPicPr>
        <xdr:cNvPr id="489" name="Immagine 488" descr="http://demaco.consob/ArchiflowWeb/images/indicator.gif">
          <a:extLst>
            <a:ext uri="{FF2B5EF4-FFF2-40B4-BE49-F238E27FC236}">
              <a16:creationId xmlns:a16="http://schemas.microsoft.com/office/drawing/2014/main" id="{6CCD12EC-3907-4BA3-9F53-E38FA68F3E2C}"/>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632</xdr:row>
      <xdr:rowOff>0</xdr:rowOff>
    </xdr:from>
    <xdr:ext cx="152400" cy="152400"/>
    <xdr:pic>
      <xdr:nvPicPr>
        <xdr:cNvPr id="490" name="Immagine 489" descr="http://demaco.consob/ArchiflowWeb/images/indicator.gif">
          <a:extLst>
            <a:ext uri="{FF2B5EF4-FFF2-40B4-BE49-F238E27FC236}">
              <a16:creationId xmlns:a16="http://schemas.microsoft.com/office/drawing/2014/main" id="{4449C67B-0588-4C88-B229-983E5AF85F21}"/>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632</xdr:row>
      <xdr:rowOff>0</xdr:rowOff>
    </xdr:from>
    <xdr:ext cx="152400" cy="152400"/>
    <xdr:pic>
      <xdr:nvPicPr>
        <xdr:cNvPr id="491" name="Immagine 490" descr="http://demaco.consob/ArchiflowWeb/images/indicator.gif">
          <a:extLst>
            <a:ext uri="{FF2B5EF4-FFF2-40B4-BE49-F238E27FC236}">
              <a16:creationId xmlns:a16="http://schemas.microsoft.com/office/drawing/2014/main" id="{D800B427-891F-43FF-BA05-36E90EB2314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632</xdr:row>
      <xdr:rowOff>0</xdr:rowOff>
    </xdr:from>
    <xdr:ext cx="152400" cy="152400"/>
    <xdr:pic>
      <xdr:nvPicPr>
        <xdr:cNvPr id="492" name="Immagine 491" descr="http://demaco.consob/ArchiflowWeb/images/indicator.gif">
          <a:extLst>
            <a:ext uri="{FF2B5EF4-FFF2-40B4-BE49-F238E27FC236}">
              <a16:creationId xmlns:a16="http://schemas.microsoft.com/office/drawing/2014/main" id="{2413B7A5-7D23-4AC4-AC80-811919B0FAA5}"/>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632</xdr:row>
      <xdr:rowOff>0</xdr:rowOff>
    </xdr:from>
    <xdr:ext cx="152400" cy="152400"/>
    <xdr:pic>
      <xdr:nvPicPr>
        <xdr:cNvPr id="493" name="Immagine 492" descr="http://demaco.consob/ArchiflowWeb/images/indicator.gif">
          <a:extLst>
            <a:ext uri="{FF2B5EF4-FFF2-40B4-BE49-F238E27FC236}">
              <a16:creationId xmlns:a16="http://schemas.microsoft.com/office/drawing/2014/main" id="{F9634C88-8905-470C-A36E-9E094A88A1AE}"/>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632</xdr:row>
      <xdr:rowOff>0</xdr:rowOff>
    </xdr:from>
    <xdr:ext cx="152400" cy="152400"/>
    <xdr:pic>
      <xdr:nvPicPr>
        <xdr:cNvPr id="494" name="Immagine 493" descr="http://demaco.consob/ArchiflowWeb/images/indicator.gif">
          <a:extLst>
            <a:ext uri="{FF2B5EF4-FFF2-40B4-BE49-F238E27FC236}">
              <a16:creationId xmlns:a16="http://schemas.microsoft.com/office/drawing/2014/main" id="{CB7C4348-9E8F-4D23-9DDF-841E51DE1F7E}"/>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632</xdr:row>
      <xdr:rowOff>0</xdr:rowOff>
    </xdr:from>
    <xdr:ext cx="152400" cy="152400"/>
    <xdr:pic>
      <xdr:nvPicPr>
        <xdr:cNvPr id="495" name="Immagine 494" descr="http://demaco.consob/ArchiflowWeb/images/indicator.gif">
          <a:extLst>
            <a:ext uri="{FF2B5EF4-FFF2-40B4-BE49-F238E27FC236}">
              <a16:creationId xmlns:a16="http://schemas.microsoft.com/office/drawing/2014/main" id="{CD7FCA35-42C6-4675-A525-4E73A9DB5FFD}"/>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632</xdr:row>
      <xdr:rowOff>0</xdr:rowOff>
    </xdr:from>
    <xdr:ext cx="152400" cy="152400"/>
    <xdr:pic>
      <xdr:nvPicPr>
        <xdr:cNvPr id="496" name="Immagine 495" descr="http://demaco.consob/ArchiflowWeb/images/indicator.gif">
          <a:extLst>
            <a:ext uri="{FF2B5EF4-FFF2-40B4-BE49-F238E27FC236}">
              <a16:creationId xmlns:a16="http://schemas.microsoft.com/office/drawing/2014/main" id="{D5516E7A-0240-4A42-BB86-031B82F48184}"/>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632</xdr:row>
      <xdr:rowOff>0</xdr:rowOff>
    </xdr:from>
    <xdr:ext cx="152400" cy="152400"/>
    <xdr:pic>
      <xdr:nvPicPr>
        <xdr:cNvPr id="497" name="Immagine 496" descr="http://demaco.consob/ArchiflowWeb/images/indicator.gif">
          <a:extLst>
            <a:ext uri="{FF2B5EF4-FFF2-40B4-BE49-F238E27FC236}">
              <a16:creationId xmlns:a16="http://schemas.microsoft.com/office/drawing/2014/main" id="{3F881546-2B90-4C7A-973A-43CE7DA48AE5}"/>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632</xdr:row>
      <xdr:rowOff>0</xdr:rowOff>
    </xdr:from>
    <xdr:ext cx="152400" cy="152400"/>
    <xdr:pic>
      <xdr:nvPicPr>
        <xdr:cNvPr id="498" name="Immagine 497" descr="http://demaco.consob/ArchiflowWeb/images/indicator.gif">
          <a:extLst>
            <a:ext uri="{FF2B5EF4-FFF2-40B4-BE49-F238E27FC236}">
              <a16:creationId xmlns:a16="http://schemas.microsoft.com/office/drawing/2014/main" id="{AC661946-BD51-42B9-8762-67E7A28CBC06}"/>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632</xdr:row>
      <xdr:rowOff>0</xdr:rowOff>
    </xdr:from>
    <xdr:ext cx="152400" cy="152400"/>
    <xdr:pic>
      <xdr:nvPicPr>
        <xdr:cNvPr id="499" name="Immagine 498" descr="http://demaco.consob/ArchiflowWeb/images/indicator.gif">
          <a:extLst>
            <a:ext uri="{FF2B5EF4-FFF2-40B4-BE49-F238E27FC236}">
              <a16:creationId xmlns:a16="http://schemas.microsoft.com/office/drawing/2014/main" id="{4E8E024C-77C3-4103-B9D2-C0E83663CBA2}"/>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632</xdr:row>
      <xdr:rowOff>0</xdr:rowOff>
    </xdr:from>
    <xdr:ext cx="152400" cy="152400"/>
    <xdr:pic>
      <xdr:nvPicPr>
        <xdr:cNvPr id="500" name="Immagine 499" descr="http://demaco.consob/ArchiflowWeb/images/indicator.gif">
          <a:extLst>
            <a:ext uri="{FF2B5EF4-FFF2-40B4-BE49-F238E27FC236}">
              <a16:creationId xmlns:a16="http://schemas.microsoft.com/office/drawing/2014/main" id="{0244FA99-2DC7-4D35-B739-CB236951EBCA}"/>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632</xdr:row>
      <xdr:rowOff>0</xdr:rowOff>
    </xdr:from>
    <xdr:ext cx="152400" cy="152400"/>
    <xdr:pic>
      <xdr:nvPicPr>
        <xdr:cNvPr id="501" name="Immagine 500" descr="http://demaco.consob/ArchiflowWeb/images/indicator.gif">
          <a:extLst>
            <a:ext uri="{FF2B5EF4-FFF2-40B4-BE49-F238E27FC236}">
              <a16:creationId xmlns:a16="http://schemas.microsoft.com/office/drawing/2014/main" id="{D49CE165-AD2D-4D9E-AE53-3A2EDA50C08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632</xdr:row>
      <xdr:rowOff>0</xdr:rowOff>
    </xdr:from>
    <xdr:ext cx="152400" cy="152400"/>
    <xdr:pic>
      <xdr:nvPicPr>
        <xdr:cNvPr id="502" name="Immagine 501" descr="http://demaco.consob/ArchiflowWeb/images/indicator.gif">
          <a:extLst>
            <a:ext uri="{FF2B5EF4-FFF2-40B4-BE49-F238E27FC236}">
              <a16:creationId xmlns:a16="http://schemas.microsoft.com/office/drawing/2014/main" id="{8B4140D2-64EC-41A1-9CB1-657FCB3DBD0B}"/>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632</xdr:row>
      <xdr:rowOff>0</xdr:rowOff>
    </xdr:from>
    <xdr:ext cx="152400" cy="152400"/>
    <xdr:pic>
      <xdr:nvPicPr>
        <xdr:cNvPr id="503" name="Immagine 502" descr="http://demaco.consob/ArchiflowWeb/images/indicator.gif">
          <a:extLst>
            <a:ext uri="{FF2B5EF4-FFF2-40B4-BE49-F238E27FC236}">
              <a16:creationId xmlns:a16="http://schemas.microsoft.com/office/drawing/2014/main" id="{FB36E85F-E794-41EB-BB00-220EB6F140AD}"/>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632</xdr:row>
      <xdr:rowOff>0</xdr:rowOff>
    </xdr:from>
    <xdr:ext cx="152400" cy="152400"/>
    <xdr:pic>
      <xdr:nvPicPr>
        <xdr:cNvPr id="504" name="Immagine 503" descr="http://demaco.consob/ArchiflowWeb/images/indicator.gif">
          <a:extLst>
            <a:ext uri="{FF2B5EF4-FFF2-40B4-BE49-F238E27FC236}">
              <a16:creationId xmlns:a16="http://schemas.microsoft.com/office/drawing/2014/main" id="{3A97DDFC-7199-4257-8C36-A0BCC2B65C8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632</xdr:row>
      <xdr:rowOff>0</xdr:rowOff>
    </xdr:from>
    <xdr:ext cx="152400" cy="152400"/>
    <xdr:pic>
      <xdr:nvPicPr>
        <xdr:cNvPr id="505" name="Immagine 504" descr="http://demaco.consob/ArchiflowWeb/images/indicator.gif">
          <a:extLst>
            <a:ext uri="{FF2B5EF4-FFF2-40B4-BE49-F238E27FC236}">
              <a16:creationId xmlns:a16="http://schemas.microsoft.com/office/drawing/2014/main" id="{84AF5443-46CF-4EF0-A8C8-120D78DD45F7}"/>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632</xdr:row>
      <xdr:rowOff>0</xdr:rowOff>
    </xdr:from>
    <xdr:ext cx="152400" cy="152400"/>
    <xdr:pic>
      <xdr:nvPicPr>
        <xdr:cNvPr id="506" name="Immagine 505" descr="http://demaco.consob/ArchiflowWeb/images/indicator.gif">
          <a:extLst>
            <a:ext uri="{FF2B5EF4-FFF2-40B4-BE49-F238E27FC236}">
              <a16:creationId xmlns:a16="http://schemas.microsoft.com/office/drawing/2014/main" id="{2C930BE4-E2ED-4DD4-82D0-39A685313D04}"/>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632</xdr:row>
      <xdr:rowOff>0</xdr:rowOff>
    </xdr:from>
    <xdr:ext cx="152400" cy="152400"/>
    <xdr:pic>
      <xdr:nvPicPr>
        <xdr:cNvPr id="507" name="Immagine 506" descr="http://demaco.consob/ArchiflowWeb/images/indicator.gif">
          <a:extLst>
            <a:ext uri="{FF2B5EF4-FFF2-40B4-BE49-F238E27FC236}">
              <a16:creationId xmlns:a16="http://schemas.microsoft.com/office/drawing/2014/main" id="{44750C49-5FD7-4719-BD95-F7168B614E14}"/>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632</xdr:row>
      <xdr:rowOff>0</xdr:rowOff>
    </xdr:from>
    <xdr:ext cx="152400" cy="152400"/>
    <xdr:pic>
      <xdr:nvPicPr>
        <xdr:cNvPr id="508" name="Immagine 507" descr="http://demaco.consob/ArchiflowWeb/images/indicator.gif">
          <a:extLst>
            <a:ext uri="{FF2B5EF4-FFF2-40B4-BE49-F238E27FC236}">
              <a16:creationId xmlns:a16="http://schemas.microsoft.com/office/drawing/2014/main" id="{CD0F051A-15A6-4F74-980B-A1461D1D1A16}"/>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632</xdr:row>
      <xdr:rowOff>0</xdr:rowOff>
    </xdr:from>
    <xdr:ext cx="152400" cy="152400"/>
    <xdr:pic>
      <xdr:nvPicPr>
        <xdr:cNvPr id="509" name="Immagine 508" descr="http://demaco.consob/ArchiflowWeb/images/indicator.gif">
          <a:extLst>
            <a:ext uri="{FF2B5EF4-FFF2-40B4-BE49-F238E27FC236}">
              <a16:creationId xmlns:a16="http://schemas.microsoft.com/office/drawing/2014/main" id="{1A2465B7-9DFE-43B3-90C7-BA926D0B7C3F}"/>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632</xdr:row>
      <xdr:rowOff>0</xdr:rowOff>
    </xdr:from>
    <xdr:ext cx="152400" cy="152400"/>
    <xdr:pic>
      <xdr:nvPicPr>
        <xdr:cNvPr id="510" name="Immagine 509" descr="http://demaco.consob/ArchiflowWeb/images/indicator.gif">
          <a:extLst>
            <a:ext uri="{FF2B5EF4-FFF2-40B4-BE49-F238E27FC236}">
              <a16:creationId xmlns:a16="http://schemas.microsoft.com/office/drawing/2014/main" id="{D74EEF84-073B-4F32-8D42-8B837FC5FD46}"/>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632</xdr:row>
      <xdr:rowOff>0</xdr:rowOff>
    </xdr:from>
    <xdr:ext cx="152400" cy="152400"/>
    <xdr:pic>
      <xdr:nvPicPr>
        <xdr:cNvPr id="511" name="Immagine 510" descr="http://demaco.consob/ArchiflowWeb/images/indicator.gif">
          <a:extLst>
            <a:ext uri="{FF2B5EF4-FFF2-40B4-BE49-F238E27FC236}">
              <a16:creationId xmlns:a16="http://schemas.microsoft.com/office/drawing/2014/main" id="{56341C3F-E155-41C6-9AD2-E45F882F789E}"/>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632</xdr:row>
      <xdr:rowOff>0</xdr:rowOff>
    </xdr:from>
    <xdr:ext cx="152400" cy="152400"/>
    <xdr:pic>
      <xdr:nvPicPr>
        <xdr:cNvPr id="512" name="Immagine 511" descr="http://demaco.consob/ArchiflowWeb/images/indicator.gif">
          <a:extLst>
            <a:ext uri="{FF2B5EF4-FFF2-40B4-BE49-F238E27FC236}">
              <a16:creationId xmlns:a16="http://schemas.microsoft.com/office/drawing/2014/main" id="{1DF3FCED-891D-426B-9197-BC3BF8669DAD}"/>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632</xdr:row>
      <xdr:rowOff>0</xdr:rowOff>
    </xdr:from>
    <xdr:ext cx="152400" cy="152400"/>
    <xdr:pic>
      <xdr:nvPicPr>
        <xdr:cNvPr id="513" name="Immagine 512" descr="http://demaco.consob/ArchiflowWeb/images/indicator.gif">
          <a:extLst>
            <a:ext uri="{FF2B5EF4-FFF2-40B4-BE49-F238E27FC236}">
              <a16:creationId xmlns:a16="http://schemas.microsoft.com/office/drawing/2014/main" id="{8279D6E3-7D9F-49C1-BFED-4FCC1E8CA943}"/>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632</xdr:row>
      <xdr:rowOff>0</xdr:rowOff>
    </xdr:from>
    <xdr:ext cx="152400" cy="152400"/>
    <xdr:pic>
      <xdr:nvPicPr>
        <xdr:cNvPr id="514" name="Immagine 513" descr="http://demaco.consob/ArchiflowWeb/images/indicator.gif">
          <a:extLst>
            <a:ext uri="{FF2B5EF4-FFF2-40B4-BE49-F238E27FC236}">
              <a16:creationId xmlns:a16="http://schemas.microsoft.com/office/drawing/2014/main" id="{2DE6BECD-DDE0-421A-9812-6F4E1B5CFE09}"/>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632</xdr:row>
      <xdr:rowOff>0</xdr:rowOff>
    </xdr:from>
    <xdr:ext cx="152400" cy="152400"/>
    <xdr:pic>
      <xdr:nvPicPr>
        <xdr:cNvPr id="515" name="Immagine 514" descr="http://demaco.consob/ArchiflowWeb/images/indicator.gif">
          <a:extLst>
            <a:ext uri="{FF2B5EF4-FFF2-40B4-BE49-F238E27FC236}">
              <a16:creationId xmlns:a16="http://schemas.microsoft.com/office/drawing/2014/main" id="{C8A5A4E0-33AB-4BF2-AF77-009049899394}"/>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632</xdr:row>
      <xdr:rowOff>0</xdr:rowOff>
    </xdr:from>
    <xdr:ext cx="152400" cy="152400"/>
    <xdr:pic>
      <xdr:nvPicPr>
        <xdr:cNvPr id="516" name="Immagine 515" descr="http://demaco.consob/ArchiflowWeb/images/indicator.gif">
          <a:extLst>
            <a:ext uri="{FF2B5EF4-FFF2-40B4-BE49-F238E27FC236}">
              <a16:creationId xmlns:a16="http://schemas.microsoft.com/office/drawing/2014/main" id="{C58D6784-895E-435B-804A-D828F0360266}"/>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632</xdr:row>
      <xdr:rowOff>0</xdr:rowOff>
    </xdr:from>
    <xdr:ext cx="152400" cy="152400"/>
    <xdr:pic>
      <xdr:nvPicPr>
        <xdr:cNvPr id="517" name="Immagine 516" descr="http://demaco.consob/ArchiflowWeb/images/indicator.gif">
          <a:extLst>
            <a:ext uri="{FF2B5EF4-FFF2-40B4-BE49-F238E27FC236}">
              <a16:creationId xmlns:a16="http://schemas.microsoft.com/office/drawing/2014/main" id="{B836444E-8178-4D74-A9FE-47E0B60EDD73}"/>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632</xdr:row>
      <xdr:rowOff>0</xdr:rowOff>
    </xdr:from>
    <xdr:ext cx="152400" cy="152400"/>
    <xdr:pic>
      <xdr:nvPicPr>
        <xdr:cNvPr id="518" name="Immagine 517" descr="http://demaco.consob/ArchiflowWeb/images/indicator.gif">
          <a:extLst>
            <a:ext uri="{FF2B5EF4-FFF2-40B4-BE49-F238E27FC236}">
              <a16:creationId xmlns:a16="http://schemas.microsoft.com/office/drawing/2014/main" id="{B1BDED7C-6A9B-4FB3-9291-3C5FB5BA76BF}"/>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632</xdr:row>
      <xdr:rowOff>0</xdr:rowOff>
    </xdr:from>
    <xdr:ext cx="152400" cy="152400"/>
    <xdr:pic>
      <xdr:nvPicPr>
        <xdr:cNvPr id="519" name="Immagine 518" descr="http://demaco.consob/ArchiflowWeb/images/indicator.gif">
          <a:extLst>
            <a:ext uri="{FF2B5EF4-FFF2-40B4-BE49-F238E27FC236}">
              <a16:creationId xmlns:a16="http://schemas.microsoft.com/office/drawing/2014/main" id="{9376CFAC-2ECF-4F8B-AC6A-A9E0E417016E}"/>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632</xdr:row>
      <xdr:rowOff>0</xdr:rowOff>
    </xdr:from>
    <xdr:ext cx="152400" cy="152400"/>
    <xdr:pic>
      <xdr:nvPicPr>
        <xdr:cNvPr id="520" name="Immagine 519" descr="http://demaco.consob/ArchiflowWeb/images/indicator.gif">
          <a:extLst>
            <a:ext uri="{FF2B5EF4-FFF2-40B4-BE49-F238E27FC236}">
              <a16:creationId xmlns:a16="http://schemas.microsoft.com/office/drawing/2014/main" id="{89DD3B88-6B2A-43C5-80E6-D2A7CEEDE34F}"/>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632</xdr:row>
      <xdr:rowOff>0</xdr:rowOff>
    </xdr:from>
    <xdr:ext cx="152400" cy="152400"/>
    <xdr:pic>
      <xdr:nvPicPr>
        <xdr:cNvPr id="521" name="Immagine 520" descr="http://demaco.consob/ArchiflowWeb/images/indicator.gif">
          <a:extLst>
            <a:ext uri="{FF2B5EF4-FFF2-40B4-BE49-F238E27FC236}">
              <a16:creationId xmlns:a16="http://schemas.microsoft.com/office/drawing/2014/main" id="{4B009D9C-B379-4A64-B051-64C11002F60F}"/>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632</xdr:row>
      <xdr:rowOff>0</xdr:rowOff>
    </xdr:from>
    <xdr:ext cx="152400" cy="152400"/>
    <xdr:pic>
      <xdr:nvPicPr>
        <xdr:cNvPr id="522" name="Immagine 521" descr="http://demaco.consob/ArchiflowWeb/images/indicator.gif">
          <a:extLst>
            <a:ext uri="{FF2B5EF4-FFF2-40B4-BE49-F238E27FC236}">
              <a16:creationId xmlns:a16="http://schemas.microsoft.com/office/drawing/2014/main" id="{12A5E969-3182-4D20-A243-3BBB61ED331B}"/>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632</xdr:row>
      <xdr:rowOff>0</xdr:rowOff>
    </xdr:from>
    <xdr:ext cx="152400" cy="152400"/>
    <xdr:pic>
      <xdr:nvPicPr>
        <xdr:cNvPr id="523" name="Immagine 522" descr="http://demaco.consob/ArchiflowWeb/images/indicator.gif">
          <a:extLst>
            <a:ext uri="{FF2B5EF4-FFF2-40B4-BE49-F238E27FC236}">
              <a16:creationId xmlns:a16="http://schemas.microsoft.com/office/drawing/2014/main" id="{6F67F54C-CAD9-4815-A49B-1F6388F175CD}"/>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632</xdr:row>
      <xdr:rowOff>0</xdr:rowOff>
    </xdr:from>
    <xdr:ext cx="152400" cy="152400"/>
    <xdr:pic>
      <xdr:nvPicPr>
        <xdr:cNvPr id="524" name="Immagine 523" descr="http://demaco.consob/ArchiflowWeb/images/indicator.gif">
          <a:extLst>
            <a:ext uri="{FF2B5EF4-FFF2-40B4-BE49-F238E27FC236}">
              <a16:creationId xmlns:a16="http://schemas.microsoft.com/office/drawing/2014/main" id="{96A0994F-FF53-4A86-A2B8-A6FB790EF642}"/>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632</xdr:row>
      <xdr:rowOff>0</xdr:rowOff>
    </xdr:from>
    <xdr:ext cx="152400" cy="152400"/>
    <xdr:pic>
      <xdr:nvPicPr>
        <xdr:cNvPr id="525" name="Immagine 524" descr="http://demaco.consob/ArchiflowWeb/images/indicator.gif">
          <a:extLst>
            <a:ext uri="{FF2B5EF4-FFF2-40B4-BE49-F238E27FC236}">
              <a16:creationId xmlns:a16="http://schemas.microsoft.com/office/drawing/2014/main" id="{F0A79C8B-EDF6-4053-8DEF-BBF3B4EE11D4}"/>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632</xdr:row>
      <xdr:rowOff>0</xdr:rowOff>
    </xdr:from>
    <xdr:ext cx="152400" cy="152400"/>
    <xdr:pic>
      <xdr:nvPicPr>
        <xdr:cNvPr id="526" name="Immagine 525" descr="http://demaco.consob/ArchiflowWeb/images/indicator.gif">
          <a:extLst>
            <a:ext uri="{FF2B5EF4-FFF2-40B4-BE49-F238E27FC236}">
              <a16:creationId xmlns:a16="http://schemas.microsoft.com/office/drawing/2014/main" id="{D72F6698-DBB9-4705-9669-77991C7AF5AB}"/>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632</xdr:row>
      <xdr:rowOff>0</xdr:rowOff>
    </xdr:from>
    <xdr:ext cx="152400" cy="152400"/>
    <xdr:pic>
      <xdr:nvPicPr>
        <xdr:cNvPr id="527" name="Immagine 526" descr="http://demaco.consob/ArchiflowWeb/images/indicator.gif">
          <a:extLst>
            <a:ext uri="{FF2B5EF4-FFF2-40B4-BE49-F238E27FC236}">
              <a16:creationId xmlns:a16="http://schemas.microsoft.com/office/drawing/2014/main" id="{9DBB24E2-2DB5-4D40-A41A-007E4BC3AB98}"/>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632</xdr:row>
      <xdr:rowOff>0</xdr:rowOff>
    </xdr:from>
    <xdr:ext cx="152400" cy="152400"/>
    <xdr:pic>
      <xdr:nvPicPr>
        <xdr:cNvPr id="528" name="Immagine 527" descr="http://demaco.consob/ArchiflowWeb/images/indicator.gif">
          <a:extLst>
            <a:ext uri="{FF2B5EF4-FFF2-40B4-BE49-F238E27FC236}">
              <a16:creationId xmlns:a16="http://schemas.microsoft.com/office/drawing/2014/main" id="{44D0CB2C-2F1C-4FC7-9CE9-1DFAE656417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632</xdr:row>
      <xdr:rowOff>0</xdr:rowOff>
    </xdr:from>
    <xdr:ext cx="152400" cy="152400"/>
    <xdr:pic>
      <xdr:nvPicPr>
        <xdr:cNvPr id="529" name="Immagine 528" descr="http://demaco.consob/ArchiflowWeb/images/indicator.gif">
          <a:extLst>
            <a:ext uri="{FF2B5EF4-FFF2-40B4-BE49-F238E27FC236}">
              <a16:creationId xmlns:a16="http://schemas.microsoft.com/office/drawing/2014/main" id="{C0AF22C5-BF8B-4932-8521-5CBCAB9EF96A}"/>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632</xdr:row>
      <xdr:rowOff>0</xdr:rowOff>
    </xdr:from>
    <xdr:ext cx="152400" cy="152400"/>
    <xdr:pic>
      <xdr:nvPicPr>
        <xdr:cNvPr id="530" name="Immagine 529" descr="http://demaco.consob/ArchiflowWeb/images/indicator.gif">
          <a:extLst>
            <a:ext uri="{FF2B5EF4-FFF2-40B4-BE49-F238E27FC236}">
              <a16:creationId xmlns:a16="http://schemas.microsoft.com/office/drawing/2014/main" id="{5AA9E8CF-C00F-422A-8609-D4438E25A9F8}"/>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632</xdr:row>
      <xdr:rowOff>0</xdr:rowOff>
    </xdr:from>
    <xdr:ext cx="152400" cy="152400"/>
    <xdr:pic>
      <xdr:nvPicPr>
        <xdr:cNvPr id="531" name="Immagine 530" descr="http://demaco.consob/ArchiflowWeb/images/indicator.gif">
          <a:extLst>
            <a:ext uri="{FF2B5EF4-FFF2-40B4-BE49-F238E27FC236}">
              <a16:creationId xmlns:a16="http://schemas.microsoft.com/office/drawing/2014/main" id="{11DB7066-B164-416B-8951-756F26CBEB08}"/>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632</xdr:row>
      <xdr:rowOff>0</xdr:rowOff>
    </xdr:from>
    <xdr:ext cx="152400" cy="152400"/>
    <xdr:pic>
      <xdr:nvPicPr>
        <xdr:cNvPr id="532" name="Immagine 531" descr="http://demaco.consob/ArchiflowWeb/images/indicator.gif">
          <a:extLst>
            <a:ext uri="{FF2B5EF4-FFF2-40B4-BE49-F238E27FC236}">
              <a16:creationId xmlns:a16="http://schemas.microsoft.com/office/drawing/2014/main" id="{7441F3D2-A68A-4631-A99B-9AF11DE2F4FE}"/>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632</xdr:row>
      <xdr:rowOff>0</xdr:rowOff>
    </xdr:from>
    <xdr:ext cx="152400" cy="152400"/>
    <xdr:pic>
      <xdr:nvPicPr>
        <xdr:cNvPr id="533" name="Immagine 532" descr="http://demaco.consob/ArchiflowWeb/images/indicator.gif">
          <a:extLst>
            <a:ext uri="{FF2B5EF4-FFF2-40B4-BE49-F238E27FC236}">
              <a16:creationId xmlns:a16="http://schemas.microsoft.com/office/drawing/2014/main" id="{6F07B101-B685-4288-AF8C-6A2126FA429D}"/>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632</xdr:row>
      <xdr:rowOff>0</xdr:rowOff>
    </xdr:from>
    <xdr:ext cx="152400" cy="152400"/>
    <xdr:pic>
      <xdr:nvPicPr>
        <xdr:cNvPr id="534" name="Immagine 533" descr="http://demaco.consob/ArchiflowWeb/images/indicator.gif">
          <a:extLst>
            <a:ext uri="{FF2B5EF4-FFF2-40B4-BE49-F238E27FC236}">
              <a16:creationId xmlns:a16="http://schemas.microsoft.com/office/drawing/2014/main" id="{725DF4BD-53E3-437E-B061-C6B0AB533327}"/>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632</xdr:row>
      <xdr:rowOff>0</xdr:rowOff>
    </xdr:from>
    <xdr:ext cx="152400" cy="152400"/>
    <xdr:pic>
      <xdr:nvPicPr>
        <xdr:cNvPr id="535" name="Immagine 534" descr="http://demaco.consob/ArchiflowWeb/images/indicator.gif">
          <a:extLst>
            <a:ext uri="{FF2B5EF4-FFF2-40B4-BE49-F238E27FC236}">
              <a16:creationId xmlns:a16="http://schemas.microsoft.com/office/drawing/2014/main" id="{93733C4D-C642-43FF-994E-51EAE38FDFAF}"/>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632</xdr:row>
      <xdr:rowOff>0</xdr:rowOff>
    </xdr:from>
    <xdr:ext cx="152400" cy="152400"/>
    <xdr:pic>
      <xdr:nvPicPr>
        <xdr:cNvPr id="536" name="Immagine 535" descr="http://demaco.consob/ArchiflowWeb/images/indicator.gif">
          <a:extLst>
            <a:ext uri="{FF2B5EF4-FFF2-40B4-BE49-F238E27FC236}">
              <a16:creationId xmlns:a16="http://schemas.microsoft.com/office/drawing/2014/main" id="{C5EF8169-ADF9-42C5-B1E7-BA2327811BBD}"/>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632</xdr:row>
      <xdr:rowOff>0</xdr:rowOff>
    </xdr:from>
    <xdr:ext cx="152400" cy="152400"/>
    <xdr:pic>
      <xdr:nvPicPr>
        <xdr:cNvPr id="537" name="Immagine 536" descr="http://demaco.consob/ArchiflowWeb/images/indicator.gif">
          <a:extLst>
            <a:ext uri="{FF2B5EF4-FFF2-40B4-BE49-F238E27FC236}">
              <a16:creationId xmlns:a16="http://schemas.microsoft.com/office/drawing/2014/main" id="{D4ADA481-457F-4EA6-A305-6122FC174FDF}"/>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632</xdr:row>
      <xdr:rowOff>0</xdr:rowOff>
    </xdr:from>
    <xdr:ext cx="152400" cy="152400"/>
    <xdr:pic>
      <xdr:nvPicPr>
        <xdr:cNvPr id="538" name="Immagine 537" descr="http://demaco.consob/ArchiflowWeb/images/indicator.gif">
          <a:extLst>
            <a:ext uri="{FF2B5EF4-FFF2-40B4-BE49-F238E27FC236}">
              <a16:creationId xmlns:a16="http://schemas.microsoft.com/office/drawing/2014/main" id="{376268F7-822D-4A85-9309-3AC9D09930B1}"/>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632</xdr:row>
      <xdr:rowOff>0</xdr:rowOff>
    </xdr:from>
    <xdr:ext cx="152400" cy="152400"/>
    <xdr:pic>
      <xdr:nvPicPr>
        <xdr:cNvPr id="539" name="Immagine 538" descr="http://demaco.consob/ArchiflowWeb/images/indicator.gif">
          <a:extLst>
            <a:ext uri="{FF2B5EF4-FFF2-40B4-BE49-F238E27FC236}">
              <a16:creationId xmlns:a16="http://schemas.microsoft.com/office/drawing/2014/main" id="{F0A2FD9A-0F63-4C61-B924-F687D5C99D5A}"/>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632</xdr:row>
      <xdr:rowOff>0</xdr:rowOff>
    </xdr:from>
    <xdr:ext cx="152400" cy="152400"/>
    <xdr:pic>
      <xdr:nvPicPr>
        <xdr:cNvPr id="540" name="Immagine 539" descr="http://demaco.consob/ArchiflowWeb/images/indicator.gif">
          <a:extLst>
            <a:ext uri="{FF2B5EF4-FFF2-40B4-BE49-F238E27FC236}">
              <a16:creationId xmlns:a16="http://schemas.microsoft.com/office/drawing/2014/main" id="{403C4E11-7679-4AD5-A17C-B569225B949F}"/>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632</xdr:row>
      <xdr:rowOff>0</xdr:rowOff>
    </xdr:from>
    <xdr:ext cx="152400" cy="152400"/>
    <xdr:pic>
      <xdr:nvPicPr>
        <xdr:cNvPr id="541" name="Immagine 540" descr="http://demaco.consob/ArchiflowWeb/images/indicator.gif">
          <a:extLst>
            <a:ext uri="{FF2B5EF4-FFF2-40B4-BE49-F238E27FC236}">
              <a16:creationId xmlns:a16="http://schemas.microsoft.com/office/drawing/2014/main" id="{44C62B65-AE61-4AF9-BE1E-2065BB0CEC75}"/>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632</xdr:row>
      <xdr:rowOff>0</xdr:rowOff>
    </xdr:from>
    <xdr:ext cx="152400" cy="152400"/>
    <xdr:pic>
      <xdr:nvPicPr>
        <xdr:cNvPr id="542" name="Immagine 541" descr="http://demaco.consob/ArchiflowWeb/images/indicator.gif">
          <a:extLst>
            <a:ext uri="{FF2B5EF4-FFF2-40B4-BE49-F238E27FC236}">
              <a16:creationId xmlns:a16="http://schemas.microsoft.com/office/drawing/2014/main" id="{C6CF3C0F-A71F-4144-ACAF-524F78DAA0FF}"/>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632</xdr:row>
      <xdr:rowOff>0</xdr:rowOff>
    </xdr:from>
    <xdr:ext cx="152400" cy="152400"/>
    <xdr:pic>
      <xdr:nvPicPr>
        <xdr:cNvPr id="543" name="Immagine 542" descr="http://demaco.consob/ArchiflowWeb/images/indicator.gif">
          <a:extLst>
            <a:ext uri="{FF2B5EF4-FFF2-40B4-BE49-F238E27FC236}">
              <a16:creationId xmlns:a16="http://schemas.microsoft.com/office/drawing/2014/main" id="{027AF5BC-0CDD-4F4C-89F1-F7AEAB25B0B9}"/>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632</xdr:row>
      <xdr:rowOff>0</xdr:rowOff>
    </xdr:from>
    <xdr:ext cx="152400" cy="152400"/>
    <xdr:pic>
      <xdr:nvPicPr>
        <xdr:cNvPr id="544" name="Immagine 543" descr="http://demaco.consob/ArchiflowWeb/images/indicator.gif">
          <a:extLst>
            <a:ext uri="{FF2B5EF4-FFF2-40B4-BE49-F238E27FC236}">
              <a16:creationId xmlns:a16="http://schemas.microsoft.com/office/drawing/2014/main" id="{A775584C-7A02-44AA-B91B-E05618663037}"/>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632</xdr:row>
      <xdr:rowOff>0</xdr:rowOff>
    </xdr:from>
    <xdr:ext cx="152400" cy="152400"/>
    <xdr:pic>
      <xdr:nvPicPr>
        <xdr:cNvPr id="545" name="Immagine 544" descr="http://demaco.consob/ArchiflowWeb/images/indicator.gif">
          <a:extLst>
            <a:ext uri="{FF2B5EF4-FFF2-40B4-BE49-F238E27FC236}">
              <a16:creationId xmlns:a16="http://schemas.microsoft.com/office/drawing/2014/main" id="{1F93B5C1-9A4F-4A6E-9EE3-4409B48CAAC8}"/>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632</xdr:row>
      <xdr:rowOff>0</xdr:rowOff>
    </xdr:from>
    <xdr:ext cx="152400" cy="152400"/>
    <xdr:pic>
      <xdr:nvPicPr>
        <xdr:cNvPr id="546" name="Immagine 545" descr="http://demaco.consob/ArchiflowWeb/images/indicator.gif">
          <a:extLst>
            <a:ext uri="{FF2B5EF4-FFF2-40B4-BE49-F238E27FC236}">
              <a16:creationId xmlns:a16="http://schemas.microsoft.com/office/drawing/2014/main" id="{428FBD0A-0A56-4AA0-A21D-52CAEF306B74}"/>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632</xdr:row>
      <xdr:rowOff>0</xdr:rowOff>
    </xdr:from>
    <xdr:ext cx="152400" cy="152400"/>
    <xdr:pic>
      <xdr:nvPicPr>
        <xdr:cNvPr id="547" name="Immagine 546" descr="http://demaco.consob/ArchiflowWeb/images/indicator.gif">
          <a:extLst>
            <a:ext uri="{FF2B5EF4-FFF2-40B4-BE49-F238E27FC236}">
              <a16:creationId xmlns:a16="http://schemas.microsoft.com/office/drawing/2014/main" id="{C6713B06-FEA1-43FE-BE32-B5298263E1FC}"/>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632</xdr:row>
      <xdr:rowOff>0</xdr:rowOff>
    </xdr:from>
    <xdr:ext cx="152400" cy="152400"/>
    <xdr:pic>
      <xdr:nvPicPr>
        <xdr:cNvPr id="548" name="Immagine 547" descr="http://demaco.consob/ArchiflowWeb/images/indicator.gif">
          <a:extLst>
            <a:ext uri="{FF2B5EF4-FFF2-40B4-BE49-F238E27FC236}">
              <a16:creationId xmlns:a16="http://schemas.microsoft.com/office/drawing/2014/main" id="{876CC8B3-CAF0-42D6-8922-EF7AF95AFC22}"/>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632</xdr:row>
      <xdr:rowOff>0</xdr:rowOff>
    </xdr:from>
    <xdr:ext cx="152400" cy="152400"/>
    <xdr:pic>
      <xdr:nvPicPr>
        <xdr:cNvPr id="549" name="Immagine 548" descr="http://demaco.consob/ArchiflowWeb/images/indicator.gif">
          <a:extLst>
            <a:ext uri="{FF2B5EF4-FFF2-40B4-BE49-F238E27FC236}">
              <a16:creationId xmlns:a16="http://schemas.microsoft.com/office/drawing/2014/main" id="{F0BF8A9F-3B59-4332-94F4-9BD163A56CD3}"/>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632</xdr:row>
      <xdr:rowOff>0</xdr:rowOff>
    </xdr:from>
    <xdr:ext cx="152400" cy="152400"/>
    <xdr:pic>
      <xdr:nvPicPr>
        <xdr:cNvPr id="550" name="Immagine 549" descr="http://demaco.consob/ArchiflowWeb/images/indicator.gif">
          <a:extLst>
            <a:ext uri="{FF2B5EF4-FFF2-40B4-BE49-F238E27FC236}">
              <a16:creationId xmlns:a16="http://schemas.microsoft.com/office/drawing/2014/main" id="{18DF97E0-269C-441C-A0CB-8857FEB96C6F}"/>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632</xdr:row>
      <xdr:rowOff>0</xdr:rowOff>
    </xdr:from>
    <xdr:ext cx="152400" cy="152400"/>
    <xdr:pic>
      <xdr:nvPicPr>
        <xdr:cNvPr id="551" name="Immagine 550" descr="http://demaco.consob/ArchiflowWeb/images/indicator.gif">
          <a:extLst>
            <a:ext uri="{FF2B5EF4-FFF2-40B4-BE49-F238E27FC236}">
              <a16:creationId xmlns:a16="http://schemas.microsoft.com/office/drawing/2014/main" id="{1F6D4276-8B4A-4769-A05B-FEABF65ABCFD}"/>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632</xdr:row>
      <xdr:rowOff>0</xdr:rowOff>
    </xdr:from>
    <xdr:ext cx="152400" cy="152400"/>
    <xdr:pic>
      <xdr:nvPicPr>
        <xdr:cNvPr id="552" name="Immagine 551" descr="http://demaco.consob/ArchiflowWeb/images/indicator.gif">
          <a:extLst>
            <a:ext uri="{FF2B5EF4-FFF2-40B4-BE49-F238E27FC236}">
              <a16:creationId xmlns:a16="http://schemas.microsoft.com/office/drawing/2014/main" id="{02ECC0A5-8781-4AAF-9E68-A7F05D8A0CE2}"/>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632</xdr:row>
      <xdr:rowOff>0</xdr:rowOff>
    </xdr:from>
    <xdr:ext cx="152400" cy="152400"/>
    <xdr:pic>
      <xdr:nvPicPr>
        <xdr:cNvPr id="553" name="Immagine 552" descr="http://demaco.consob/ArchiflowWeb/images/indicator.gif">
          <a:extLst>
            <a:ext uri="{FF2B5EF4-FFF2-40B4-BE49-F238E27FC236}">
              <a16:creationId xmlns:a16="http://schemas.microsoft.com/office/drawing/2014/main" id="{0D8DF754-EB4E-4D86-8DD3-177B2405FC82}"/>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632</xdr:row>
      <xdr:rowOff>0</xdr:rowOff>
    </xdr:from>
    <xdr:ext cx="152400" cy="152400"/>
    <xdr:pic>
      <xdr:nvPicPr>
        <xdr:cNvPr id="554" name="Immagine 553" descr="http://demaco.consob/ArchiflowWeb/images/indicator.gif">
          <a:extLst>
            <a:ext uri="{FF2B5EF4-FFF2-40B4-BE49-F238E27FC236}">
              <a16:creationId xmlns:a16="http://schemas.microsoft.com/office/drawing/2014/main" id="{42627ACC-420E-4E98-AD7E-8DC934A713C4}"/>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632</xdr:row>
      <xdr:rowOff>0</xdr:rowOff>
    </xdr:from>
    <xdr:ext cx="152400" cy="152400"/>
    <xdr:pic>
      <xdr:nvPicPr>
        <xdr:cNvPr id="555" name="Immagine 554" descr="http://demaco.consob/ArchiflowWeb/images/indicator.gif">
          <a:extLst>
            <a:ext uri="{FF2B5EF4-FFF2-40B4-BE49-F238E27FC236}">
              <a16:creationId xmlns:a16="http://schemas.microsoft.com/office/drawing/2014/main" id="{A9FA8AC5-7DBB-42A0-998F-94391FA163BB}"/>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632</xdr:row>
      <xdr:rowOff>0</xdr:rowOff>
    </xdr:from>
    <xdr:ext cx="152400" cy="152400"/>
    <xdr:pic>
      <xdr:nvPicPr>
        <xdr:cNvPr id="556" name="Immagine 555" descr="http://demaco.consob/ArchiflowWeb/images/indicator.gif">
          <a:extLst>
            <a:ext uri="{FF2B5EF4-FFF2-40B4-BE49-F238E27FC236}">
              <a16:creationId xmlns:a16="http://schemas.microsoft.com/office/drawing/2014/main" id="{0C13BA19-9B1D-4C78-9A07-8FAEB23FF70F}"/>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632</xdr:row>
      <xdr:rowOff>0</xdr:rowOff>
    </xdr:from>
    <xdr:ext cx="152400" cy="152400"/>
    <xdr:pic>
      <xdr:nvPicPr>
        <xdr:cNvPr id="557" name="Immagine 556" descr="http://demaco.consob/ArchiflowWeb/images/indicator.gif">
          <a:extLst>
            <a:ext uri="{FF2B5EF4-FFF2-40B4-BE49-F238E27FC236}">
              <a16:creationId xmlns:a16="http://schemas.microsoft.com/office/drawing/2014/main" id="{92B2C543-2486-4180-BAC5-3306DEE06C4C}"/>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632</xdr:row>
      <xdr:rowOff>0</xdr:rowOff>
    </xdr:from>
    <xdr:ext cx="152400" cy="152400"/>
    <xdr:pic>
      <xdr:nvPicPr>
        <xdr:cNvPr id="558" name="Immagine 557" descr="http://demaco.consob/ArchiflowWeb/images/indicator.gif">
          <a:extLst>
            <a:ext uri="{FF2B5EF4-FFF2-40B4-BE49-F238E27FC236}">
              <a16:creationId xmlns:a16="http://schemas.microsoft.com/office/drawing/2014/main" id="{7B6EED6D-63E6-44DE-9CAE-F4A6205CFFD7}"/>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632</xdr:row>
      <xdr:rowOff>0</xdr:rowOff>
    </xdr:from>
    <xdr:ext cx="152400" cy="152400"/>
    <xdr:pic>
      <xdr:nvPicPr>
        <xdr:cNvPr id="559" name="Immagine 558" descr="http://demaco.consob/ArchiflowWeb/images/indicator.gif">
          <a:extLst>
            <a:ext uri="{FF2B5EF4-FFF2-40B4-BE49-F238E27FC236}">
              <a16:creationId xmlns:a16="http://schemas.microsoft.com/office/drawing/2014/main" id="{A9714E00-DF13-48A0-BE1E-B6BB054DF493}"/>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632</xdr:row>
      <xdr:rowOff>0</xdr:rowOff>
    </xdr:from>
    <xdr:ext cx="152400" cy="152400"/>
    <xdr:pic>
      <xdr:nvPicPr>
        <xdr:cNvPr id="560" name="Immagine 559" descr="http://demaco.consob/ArchiflowWeb/images/indicator.gif">
          <a:extLst>
            <a:ext uri="{FF2B5EF4-FFF2-40B4-BE49-F238E27FC236}">
              <a16:creationId xmlns:a16="http://schemas.microsoft.com/office/drawing/2014/main" id="{233CD9CD-DE8B-4FD9-9C88-F306CED2FBC9}"/>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632</xdr:row>
      <xdr:rowOff>0</xdr:rowOff>
    </xdr:from>
    <xdr:ext cx="152400" cy="152400"/>
    <xdr:pic>
      <xdr:nvPicPr>
        <xdr:cNvPr id="561" name="Immagine 560" descr="http://demaco.consob/ArchiflowWeb/images/indicator.gif">
          <a:extLst>
            <a:ext uri="{FF2B5EF4-FFF2-40B4-BE49-F238E27FC236}">
              <a16:creationId xmlns:a16="http://schemas.microsoft.com/office/drawing/2014/main" id="{BD79DAA1-9C00-48E0-852F-0F5F5A2743E4}"/>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632</xdr:row>
      <xdr:rowOff>0</xdr:rowOff>
    </xdr:from>
    <xdr:ext cx="152400" cy="152400"/>
    <xdr:pic>
      <xdr:nvPicPr>
        <xdr:cNvPr id="562" name="Immagine 561" descr="http://demaco.consob/ArchiflowWeb/images/indicator.gif">
          <a:extLst>
            <a:ext uri="{FF2B5EF4-FFF2-40B4-BE49-F238E27FC236}">
              <a16:creationId xmlns:a16="http://schemas.microsoft.com/office/drawing/2014/main" id="{A9223D4D-828A-40DA-9FCD-D6C07BFD6E05}"/>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632</xdr:row>
      <xdr:rowOff>0</xdr:rowOff>
    </xdr:from>
    <xdr:ext cx="152400" cy="152400"/>
    <xdr:pic>
      <xdr:nvPicPr>
        <xdr:cNvPr id="563" name="Immagine 562" descr="http://demaco.consob/ArchiflowWeb/images/indicator.gif">
          <a:extLst>
            <a:ext uri="{FF2B5EF4-FFF2-40B4-BE49-F238E27FC236}">
              <a16:creationId xmlns:a16="http://schemas.microsoft.com/office/drawing/2014/main" id="{860CDA16-3294-4160-9353-4755A4A14FA4}"/>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632</xdr:row>
      <xdr:rowOff>0</xdr:rowOff>
    </xdr:from>
    <xdr:ext cx="152400" cy="152400"/>
    <xdr:pic>
      <xdr:nvPicPr>
        <xdr:cNvPr id="564" name="Immagine 563" descr="http://demaco.consob/ArchiflowWeb/images/indicator.gif">
          <a:extLst>
            <a:ext uri="{FF2B5EF4-FFF2-40B4-BE49-F238E27FC236}">
              <a16:creationId xmlns:a16="http://schemas.microsoft.com/office/drawing/2014/main" id="{5745C0C9-FDF3-4B8F-8163-4C9B3739E657}"/>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632</xdr:row>
      <xdr:rowOff>0</xdr:rowOff>
    </xdr:from>
    <xdr:ext cx="152400" cy="152400"/>
    <xdr:pic>
      <xdr:nvPicPr>
        <xdr:cNvPr id="565" name="Immagine 564" descr="http://demaco.consob/ArchiflowWeb/images/indicator.gif">
          <a:extLst>
            <a:ext uri="{FF2B5EF4-FFF2-40B4-BE49-F238E27FC236}">
              <a16:creationId xmlns:a16="http://schemas.microsoft.com/office/drawing/2014/main" id="{A7A33939-D316-49B4-A789-89720D913C74}"/>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632</xdr:row>
      <xdr:rowOff>0</xdr:rowOff>
    </xdr:from>
    <xdr:ext cx="152400" cy="152400"/>
    <xdr:pic>
      <xdr:nvPicPr>
        <xdr:cNvPr id="566" name="Immagine 565" descr="http://demaco.consob/ArchiflowWeb/images/indicator.gif">
          <a:extLst>
            <a:ext uri="{FF2B5EF4-FFF2-40B4-BE49-F238E27FC236}">
              <a16:creationId xmlns:a16="http://schemas.microsoft.com/office/drawing/2014/main" id="{8BF9448D-7391-4C0C-A6CE-BE36708BD1F7}"/>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632</xdr:row>
      <xdr:rowOff>0</xdr:rowOff>
    </xdr:from>
    <xdr:ext cx="152400" cy="152400"/>
    <xdr:pic>
      <xdr:nvPicPr>
        <xdr:cNvPr id="567" name="Immagine 566" descr="http://demaco.consob/ArchiflowWeb/images/indicator.gif">
          <a:extLst>
            <a:ext uri="{FF2B5EF4-FFF2-40B4-BE49-F238E27FC236}">
              <a16:creationId xmlns:a16="http://schemas.microsoft.com/office/drawing/2014/main" id="{285114AE-5DD4-47B2-AB9A-F99F55647111}"/>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632</xdr:row>
      <xdr:rowOff>0</xdr:rowOff>
    </xdr:from>
    <xdr:ext cx="152400" cy="152400"/>
    <xdr:pic>
      <xdr:nvPicPr>
        <xdr:cNvPr id="568" name="Immagine 567" descr="http://demaco.consob/ArchiflowWeb/images/indicator.gif">
          <a:extLst>
            <a:ext uri="{FF2B5EF4-FFF2-40B4-BE49-F238E27FC236}">
              <a16:creationId xmlns:a16="http://schemas.microsoft.com/office/drawing/2014/main" id="{2187EA2B-0E63-4138-89F2-CF6C1BE1AD9B}"/>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632</xdr:row>
      <xdr:rowOff>0</xdr:rowOff>
    </xdr:from>
    <xdr:ext cx="152400" cy="152400"/>
    <xdr:pic>
      <xdr:nvPicPr>
        <xdr:cNvPr id="569" name="Immagine 568" descr="http://demaco.consob/ArchiflowWeb/images/indicator.gif">
          <a:extLst>
            <a:ext uri="{FF2B5EF4-FFF2-40B4-BE49-F238E27FC236}">
              <a16:creationId xmlns:a16="http://schemas.microsoft.com/office/drawing/2014/main" id="{1F387359-CC4C-4B28-BDAF-69E9D2F45C55}"/>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632</xdr:row>
      <xdr:rowOff>0</xdr:rowOff>
    </xdr:from>
    <xdr:ext cx="152400" cy="152400"/>
    <xdr:pic>
      <xdr:nvPicPr>
        <xdr:cNvPr id="570" name="Immagine 569" descr="http://demaco.consob/ArchiflowWeb/images/indicator.gif">
          <a:extLst>
            <a:ext uri="{FF2B5EF4-FFF2-40B4-BE49-F238E27FC236}">
              <a16:creationId xmlns:a16="http://schemas.microsoft.com/office/drawing/2014/main" id="{07D8494C-4233-485C-962B-0FDF4BFD0A07}"/>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632</xdr:row>
      <xdr:rowOff>0</xdr:rowOff>
    </xdr:from>
    <xdr:ext cx="152400" cy="152400"/>
    <xdr:pic>
      <xdr:nvPicPr>
        <xdr:cNvPr id="571" name="Immagine 570" descr="http://demaco.consob/ArchiflowWeb/images/indicator.gif">
          <a:extLst>
            <a:ext uri="{FF2B5EF4-FFF2-40B4-BE49-F238E27FC236}">
              <a16:creationId xmlns:a16="http://schemas.microsoft.com/office/drawing/2014/main" id="{65DDBA84-A2CD-48CD-AF2E-DC4FED021068}"/>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632</xdr:row>
      <xdr:rowOff>0</xdr:rowOff>
    </xdr:from>
    <xdr:ext cx="152400" cy="152400"/>
    <xdr:pic>
      <xdr:nvPicPr>
        <xdr:cNvPr id="572" name="Immagine 571" descr="http://demaco.consob/ArchiflowWeb/images/indicator.gif">
          <a:extLst>
            <a:ext uri="{FF2B5EF4-FFF2-40B4-BE49-F238E27FC236}">
              <a16:creationId xmlns:a16="http://schemas.microsoft.com/office/drawing/2014/main" id="{576A6185-1CEA-459E-A07D-50B88691E27B}"/>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632</xdr:row>
      <xdr:rowOff>0</xdr:rowOff>
    </xdr:from>
    <xdr:ext cx="152400" cy="152400"/>
    <xdr:pic>
      <xdr:nvPicPr>
        <xdr:cNvPr id="573" name="Immagine 572" descr="http://demaco.consob/ArchiflowWeb/images/indicator.gif">
          <a:extLst>
            <a:ext uri="{FF2B5EF4-FFF2-40B4-BE49-F238E27FC236}">
              <a16:creationId xmlns:a16="http://schemas.microsoft.com/office/drawing/2014/main" id="{E657484C-3A31-41E5-8350-80A1F696553E}"/>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633</xdr:row>
      <xdr:rowOff>0</xdr:rowOff>
    </xdr:from>
    <xdr:ext cx="152400" cy="152400"/>
    <xdr:pic>
      <xdr:nvPicPr>
        <xdr:cNvPr id="574" name="Immagine 573" descr="http://demaco.consob/ArchiflowWeb/images/indicator.gif">
          <a:extLst>
            <a:ext uri="{FF2B5EF4-FFF2-40B4-BE49-F238E27FC236}">
              <a16:creationId xmlns:a16="http://schemas.microsoft.com/office/drawing/2014/main" id="{AD0062C4-9181-4E81-8BD0-AB082781D389}"/>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3429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633</xdr:row>
      <xdr:rowOff>0</xdr:rowOff>
    </xdr:from>
    <xdr:ext cx="152400" cy="152400"/>
    <xdr:pic>
      <xdr:nvPicPr>
        <xdr:cNvPr id="575" name="Immagine 574" descr="http://demaco.consob/ArchiflowWeb/images/indicator.gif">
          <a:extLst>
            <a:ext uri="{FF2B5EF4-FFF2-40B4-BE49-F238E27FC236}">
              <a16:creationId xmlns:a16="http://schemas.microsoft.com/office/drawing/2014/main" id="{4337654F-9560-4848-926A-1492DD5B0CD4}"/>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3429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633</xdr:row>
      <xdr:rowOff>0</xdr:rowOff>
    </xdr:from>
    <xdr:ext cx="152400" cy="152400"/>
    <xdr:pic>
      <xdr:nvPicPr>
        <xdr:cNvPr id="576" name="Immagine 575" descr="http://demaco.consob/ArchiflowWeb/images/indicator.gif">
          <a:extLst>
            <a:ext uri="{FF2B5EF4-FFF2-40B4-BE49-F238E27FC236}">
              <a16:creationId xmlns:a16="http://schemas.microsoft.com/office/drawing/2014/main" id="{C9D48A41-3C69-4E25-BF97-59A944C943A7}"/>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3429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633</xdr:row>
      <xdr:rowOff>0</xdr:rowOff>
    </xdr:from>
    <xdr:ext cx="152400" cy="152400"/>
    <xdr:pic>
      <xdr:nvPicPr>
        <xdr:cNvPr id="577" name="Immagine 576" descr="http://demaco.consob/ArchiflowWeb/images/indicator.gif">
          <a:extLst>
            <a:ext uri="{FF2B5EF4-FFF2-40B4-BE49-F238E27FC236}">
              <a16:creationId xmlns:a16="http://schemas.microsoft.com/office/drawing/2014/main" id="{06FACD97-57A1-4605-98CE-F51A2280861E}"/>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3429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633</xdr:row>
      <xdr:rowOff>0</xdr:rowOff>
    </xdr:from>
    <xdr:ext cx="152400" cy="152400"/>
    <xdr:pic>
      <xdr:nvPicPr>
        <xdr:cNvPr id="578" name="Immagine 577" descr="http://demaco.consob/ArchiflowWeb/images/indicator.gif">
          <a:extLst>
            <a:ext uri="{FF2B5EF4-FFF2-40B4-BE49-F238E27FC236}">
              <a16:creationId xmlns:a16="http://schemas.microsoft.com/office/drawing/2014/main" id="{9E21F27F-14FD-4E1D-A6C9-9F7BB3DFE157}"/>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3429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633</xdr:row>
      <xdr:rowOff>0</xdr:rowOff>
    </xdr:from>
    <xdr:ext cx="152400" cy="152400"/>
    <xdr:pic>
      <xdr:nvPicPr>
        <xdr:cNvPr id="579" name="Immagine 578" descr="http://demaco.consob/ArchiflowWeb/images/indicator.gif">
          <a:extLst>
            <a:ext uri="{FF2B5EF4-FFF2-40B4-BE49-F238E27FC236}">
              <a16:creationId xmlns:a16="http://schemas.microsoft.com/office/drawing/2014/main" id="{35EBEDF8-BB20-436C-95E7-24B35EDE256B}"/>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3429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633</xdr:row>
      <xdr:rowOff>0</xdr:rowOff>
    </xdr:from>
    <xdr:ext cx="152400" cy="152400"/>
    <xdr:pic>
      <xdr:nvPicPr>
        <xdr:cNvPr id="580" name="Immagine 579" descr="http://demaco.consob/ArchiflowWeb/images/indicator.gif">
          <a:extLst>
            <a:ext uri="{FF2B5EF4-FFF2-40B4-BE49-F238E27FC236}">
              <a16:creationId xmlns:a16="http://schemas.microsoft.com/office/drawing/2014/main" id="{D601386B-6B96-48A6-8550-AB4C2EDFE339}"/>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3429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633</xdr:row>
      <xdr:rowOff>0</xdr:rowOff>
    </xdr:from>
    <xdr:ext cx="152400" cy="152400"/>
    <xdr:pic>
      <xdr:nvPicPr>
        <xdr:cNvPr id="581" name="Immagine 580" descr="http://demaco.consob/ArchiflowWeb/images/indicator.gif">
          <a:extLst>
            <a:ext uri="{FF2B5EF4-FFF2-40B4-BE49-F238E27FC236}">
              <a16:creationId xmlns:a16="http://schemas.microsoft.com/office/drawing/2014/main" id="{04AF3083-96A3-484B-9F35-2790C03F8316}"/>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3429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633</xdr:row>
      <xdr:rowOff>0</xdr:rowOff>
    </xdr:from>
    <xdr:ext cx="152400" cy="152400"/>
    <xdr:pic>
      <xdr:nvPicPr>
        <xdr:cNvPr id="582" name="Immagine 581" descr="http://demaco.consob/ArchiflowWeb/images/indicator.gif">
          <a:extLst>
            <a:ext uri="{FF2B5EF4-FFF2-40B4-BE49-F238E27FC236}">
              <a16:creationId xmlns:a16="http://schemas.microsoft.com/office/drawing/2014/main" id="{53091844-140A-4A9C-9F9E-E4BBFD8F6FC3}"/>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3429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633</xdr:row>
      <xdr:rowOff>0</xdr:rowOff>
    </xdr:from>
    <xdr:ext cx="152400" cy="152400"/>
    <xdr:pic>
      <xdr:nvPicPr>
        <xdr:cNvPr id="583" name="Immagine 582" descr="http://demaco.consob/ArchiflowWeb/images/indicator.gif">
          <a:extLst>
            <a:ext uri="{FF2B5EF4-FFF2-40B4-BE49-F238E27FC236}">
              <a16:creationId xmlns:a16="http://schemas.microsoft.com/office/drawing/2014/main" id="{460358C3-CE99-4370-AA77-403A429EB12C}"/>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3429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633</xdr:row>
      <xdr:rowOff>0</xdr:rowOff>
    </xdr:from>
    <xdr:ext cx="152400" cy="152400"/>
    <xdr:pic>
      <xdr:nvPicPr>
        <xdr:cNvPr id="584" name="Immagine 583" descr="http://demaco.consob/ArchiflowWeb/images/indicator.gif">
          <a:extLst>
            <a:ext uri="{FF2B5EF4-FFF2-40B4-BE49-F238E27FC236}">
              <a16:creationId xmlns:a16="http://schemas.microsoft.com/office/drawing/2014/main" id="{28B8B35C-20E1-40BE-8206-EF60A77C2BB2}"/>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3429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633</xdr:row>
      <xdr:rowOff>0</xdr:rowOff>
    </xdr:from>
    <xdr:ext cx="152400" cy="152400"/>
    <xdr:pic>
      <xdr:nvPicPr>
        <xdr:cNvPr id="585" name="Immagine 584" descr="http://demaco.consob/ArchiflowWeb/images/indicator.gif">
          <a:extLst>
            <a:ext uri="{FF2B5EF4-FFF2-40B4-BE49-F238E27FC236}">
              <a16:creationId xmlns:a16="http://schemas.microsoft.com/office/drawing/2014/main" id="{D7828F9C-9C21-44C5-8536-41C556B6E131}"/>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3429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633</xdr:row>
      <xdr:rowOff>0</xdr:rowOff>
    </xdr:from>
    <xdr:ext cx="152400" cy="152400"/>
    <xdr:pic>
      <xdr:nvPicPr>
        <xdr:cNvPr id="586" name="Immagine 585" descr="http://demaco.consob/ArchiflowWeb/images/indicator.gif">
          <a:extLst>
            <a:ext uri="{FF2B5EF4-FFF2-40B4-BE49-F238E27FC236}">
              <a16:creationId xmlns:a16="http://schemas.microsoft.com/office/drawing/2014/main" id="{ABBB9DE8-2F81-4285-BBB3-62807A031DFA}"/>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3429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633</xdr:row>
      <xdr:rowOff>0</xdr:rowOff>
    </xdr:from>
    <xdr:ext cx="152400" cy="152400"/>
    <xdr:pic>
      <xdr:nvPicPr>
        <xdr:cNvPr id="587" name="Immagine 586" descr="http://demaco.consob/ArchiflowWeb/images/indicator.gif">
          <a:extLst>
            <a:ext uri="{FF2B5EF4-FFF2-40B4-BE49-F238E27FC236}">
              <a16:creationId xmlns:a16="http://schemas.microsoft.com/office/drawing/2014/main" id="{F23F3A92-8DB5-4714-BC9E-A896FA754727}"/>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3429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633</xdr:row>
      <xdr:rowOff>0</xdr:rowOff>
    </xdr:from>
    <xdr:ext cx="152400" cy="152400"/>
    <xdr:pic>
      <xdr:nvPicPr>
        <xdr:cNvPr id="588" name="Immagine 587" descr="http://demaco.consob/ArchiflowWeb/images/indicator.gif">
          <a:extLst>
            <a:ext uri="{FF2B5EF4-FFF2-40B4-BE49-F238E27FC236}">
              <a16:creationId xmlns:a16="http://schemas.microsoft.com/office/drawing/2014/main" id="{C81727F5-5862-404D-860D-8344A2B54662}"/>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3429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633</xdr:row>
      <xdr:rowOff>0</xdr:rowOff>
    </xdr:from>
    <xdr:ext cx="152400" cy="152400"/>
    <xdr:pic>
      <xdr:nvPicPr>
        <xdr:cNvPr id="589" name="Immagine 588" descr="http://demaco.consob/ArchiflowWeb/images/indicator.gif">
          <a:extLst>
            <a:ext uri="{FF2B5EF4-FFF2-40B4-BE49-F238E27FC236}">
              <a16:creationId xmlns:a16="http://schemas.microsoft.com/office/drawing/2014/main" id="{A348C246-179B-4EE8-9928-EA758A0A7E9A}"/>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3429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633</xdr:row>
      <xdr:rowOff>0</xdr:rowOff>
    </xdr:from>
    <xdr:ext cx="152400" cy="152400"/>
    <xdr:pic>
      <xdr:nvPicPr>
        <xdr:cNvPr id="590" name="Immagine 589" descr="http://demaco.consob/ArchiflowWeb/images/indicator.gif">
          <a:extLst>
            <a:ext uri="{FF2B5EF4-FFF2-40B4-BE49-F238E27FC236}">
              <a16:creationId xmlns:a16="http://schemas.microsoft.com/office/drawing/2014/main" id="{DB900090-1929-4D19-9694-4DDF3EFB65EE}"/>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3429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633</xdr:row>
      <xdr:rowOff>0</xdr:rowOff>
    </xdr:from>
    <xdr:ext cx="152400" cy="152400"/>
    <xdr:pic>
      <xdr:nvPicPr>
        <xdr:cNvPr id="591" name="Immagine 590" descr="http://demaco.consob/ArchiflowWeb/images/indicator.gif">
          <a:extLst>
            <a:ext uri="{FF2B5EF4-FFF2-40B4-BE49-F238E27FC236}">
              <a16:creationId xmlns:a16="http://schemas.microsoft.com/office/drawing/2014/main" id="{A4AC83E5-7B71-4372-94C5-4E6B7CA081F9}"/>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3429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633</xdr:row>
      <xdr:rowOff>0</xdr:rowOff>
    </xdr:from>
    <xdr:ext cx="152400" cy="152400"/>
    <xdr:pic>
      <xdr:nvPicPr>
        <xdr:cNvPr id="592" name="Immagine 591" descr="http://demaco.consob/ArchiflowWeb/images/indicator.gif">
          <a:extLst>
            <a:ext uri="{FF2B5EF4-FFF2-40B4-BE49-F238E27FC236}">
              <a16:creationId xmlns:a16="http://schemas.microsoft.com/office/drawing/2014/main" id="{F88EDA6D-EE89-4081-AC29-50A7F8486223}"/>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3429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633</xdr:row>
      <xdr:rowOff>0</xdr:rowOff>
    </xdr:from>
    <xdr:ext cx="152400" cy="152400"/>
    <xdr:pic>
      <xdr:nvPicPr>
        <xdr:cNvPr id="593" name="Immagine 592" descr="http://demaco.consob/ArchiflowWeb/images/indicator.gif">
          <a:extLst>
            <a:ext uri="{FF2B5EF4-FFF2-40B4-BE49-F238E27FC236}">
              <a16:creationId xmlns:a16="http://schemas.microsoft.com/office/drawing/2014/main" id="{32383518-C5F8-44DC-97B2-D92FEF2B8CFC}"/>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3429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633</xdr:row>
      <xdr:rowOff>0</xdr:rowOff>
    </xdr:from>
    <xdr:ext cx="152400" cy="152400"/>
    <xdr:pic>
      <xdr:nvPicPr>
        <xdr:cNvPr id="594" name="Immagine 593" descr="http://demaco.consob/ArchiflowWeb/images/indicator.gif">
          <a:extLst>
            <a:ext uri="{FF2B5EF4-FFF2-40B4-BE49-F238E27FC236}">
              <a16:creationId xmlns:a16="http://schemas.microsoft.com/office/drawing/2014/main" id="{C5B434B0-8D0D-46ED-8D6D-6EA590C272EE}"/>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3429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633</xdr:row>
      <xdr:rowOff>0</xdr:rowOff>
    </xdr:from>
    <xdr:ext cx="152400" cy="152400"/>
    <xdr:pic>
      <xdr:nvPicPr>
        <xdr:cNvPr id="595" name="Immagine 594" descr="http://demaco.consob/ArchiflowWeb/images/indicator.gif">
          <a:extLst>
            <a:ext uri="{FF2B5EF4-FFF2-40B4-BE49-F238E27FC236}">
              <a16:creationId xmlns:a16="http://schemas.microsoft.com/office/drawing/2014/main" id="{4F967831-3CD3-416D-8F06-838EADA196B8}"/>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3429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633</xdr:row>
      <xdr:rowOff>0</xdr:rowOff>
    </xdr:from>
    <xdr:ext cx="152400" cy="152400"/>
    <xdr:pic>
      <xdr:nvPicPr>
        <xdr:cNvPr id="596" name="Immagine 595" descr="http://demaco.consob/ArchiflowWeb/images/indicator.gif">
          <a:extLst>
            <a:ext uri="{FF2B5EF4-FFF2-40B4-BE49-F238E27FC236}">
              <a16:creationId xmlns:a16="http://schemas.microsoft.com/office/drawing/2014/main" id="{B60F54D6-A107-493F-BB5C-93435D4166E1}"/>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3429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633</xdr:row>
      <xdr:rowOff>0</xdr:rowOff>
    </xdr:from>
    <xdr:ext cx="152400" cy="152400"/>
    <xdr:pic>
      <xdr:nvPicPr>
        <xdr:cNvPr id="597" name="Immagine 596" descr="http://demaco.consob/ArchiflowWeb/images/indicator.gif">
          <a:extLst>
            <a:ext uri="{FF2B5EF4-FFF2-40B4-BE49-F238E27FC236}">
              <a16:creationId xmlns:a16="http://schemas.microsoft.com/office/drawing/2014/main" id="{C096E6F0-A9D1-4DFA-8618-D5983B218DF3}"/>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3429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633</xdr:row>
      <xdr:rowOff>0</xdr:rowOff>
    </xdr:from>
    <xdr:ext cx="152400" cy="152400"/>
    <xdr:pic>
      <xdr:nvPicPr>
        <xdr:cNvPr id="598" name="Immagine 597" descr="http://demaco.consob/ArchiflowWeb/images/indicator.gif">
          <a:extLst>
            <a:ext uri="{FF2B5EF4-FFF2-40B4-BE49-F238E27FC236}">
              <a16:creationId xmlns:a16="http://schemas.microsoft.com/office/drawing/2014/main" id="{F9A1F1A8-FC9A-41C1-975A-7613462E5A92}"/>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3429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633</xdr:row>
      <xdr:rowOff>0</xdr:rowOff>
    </xdr:from>
    <xdr:ext cx="152400" cy="152400"/>
    <xdr:pic>
      <xdr:nvPicPr>
        <xdr:cNvPr id="599" name="Immagine 598" descr="http://demaco.consob/ArchiflowWeb/images/indicator.gif">
          <a:extLst>
            <a:ext uri="{FF2B5EF4-FFF2-40B4-BE49-F238E27FC236}">
              <a16:creationId xmlns:a16="http://schemas.microsoft.com/office/drawing/2014/main" id="{9C27DF88-93FF-4AF2-B9B6-A4AED2543CCC}"/>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3429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633</xdr:row>
      <xdr:rowOff>0</xdr:rowOff>
    </xdr:from>
    <xdr:ext cx="152400" cy="152400"/>
    <xdr:pic>
      <xdr:nvPicPr>
        <xdr:cNvPr id="600" name="Immagine 599" descr="http://demaco.consob/ArchiflowWeb/images/indicator.gif">
          <a:extLst>
            <a:ext uri="{FF2B5EF4-FFF2-40B4-BE49-F238E27FC236}">
              <a16:creationId xmlns:a16="http://schemas.microsoft.com/office/drawing/2014/main" id="{EB080162-DDAE-4433-A6A9-3AD6786CD082}"/>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3429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633</xdr:row>
      <xdr:rowOff>0</xdr:rowOff>
    </xdr:from>
    <xdr:ext cx="152400" cy="152400"/>
    <xdr:pic>
      <xdr:nvPicPr>
        <xdr:cNvPr id="601" name="Immagine 600" descr="http://demaco.consob/ArchiflowWeb/images/indicator.gif">
          <a:extLst>
            <a:ext uri="{FF2B5EF4-FFF2-40B4-BE49-F238E27FC236}">
              <a16:creationId xmlns:a16="http://schemas.microsoft.com/office/drawing/2014/main" id="{F0228A53-5261-44B8-B4E6-AD2BA779B8FA}"/>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3429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633</xdr:row>
      <xdr:rowOff>0</xdr:rowOff>
    </xdr:from>
    <xdr:ext cx="152400" cy="152400"/>
    <xdr:pic>
      <xdr:nvPicPr>
        <xdr:cNvPr id="602" name="Immagine 601" descr="http://demaco.consob/ArchiflowWeb/images/indicator.gif">
          <a:extLst>
            <a:ext uri="{FF2B5EF4-FFF2-40B4-BE49-F238E27FC236}">
              <a16:creationId xmlns:a16="http://schemas.microsoft.com/office/drawing/2014/main" id="{D1E11859-7A91-46B3-99AB-39A517A3BD9E}"/>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3429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633</xdr:row>
      <xdr:rowOff>0</xdr:rowOff>
    </xdr:from>
    <xdr:ext cx="152400" cy="152400"/>
    <xdr:pic>
      <xdr:nvPicPr>
        <xdr:cNvPr id="603" name="Immagine 602" descr="http://demaco.consob/ArchiflowWeb/images/indicator.gif">
          <a:extLst>
            <a:ext uri="{FF2B5EF4-FFF2-40B4-BE49-F238E27FC236}">
              <a16:creationId xmlns:a16="http://schemas.microsoft.com/office/drawing/2014/main" id="{5457E503-5026-4AE6-9783-E6F84A24B70B}"/>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3429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633</xdr:row>
      <xdr:rowOff>0</xdr:rowOff>
    </xdr:from>
    <xdr:ext cx="152400" cy="152400"/>
    <xdr:pic>
      <xdr:nvPicPr>
        <xdr:cNvPr id="604" name="Immagine 603" descr="http://demaco.consob/ArchiflowWeb/images/indicator.gif">
          <a:extLst>
            <a:ext uri="{FF2B5EF4-FFF2-40B4-BE49-F238E27FC236}">
              <a16:creationId xmlns:a16="http://schemas.microsoft.com/office/drawing/2014/main" id="{2D326C92-F629-4765-9205-93959836E1E2}"/>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3429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633</xdr:row>
      <xdr:rowOff>0</xdr:rowOff>
    </xdr:from>
    <xdr:ext cx="152400" cy="152400"/>
    <xdr:pic>
      <xdr:nvPicPr>
        <xdr:cNvPr id="605" name="Immagine 604" descr="http://demaco.consob/ArchiflowWeb/images/indicator.gif">
          <a:extLst>
            <a:ext uri="{FF2B5EF4-FFF2-40B4-BE49-F238E27FC236}">
              <a16:creationId xmlns:a16="http://schemas.microsoft.com/office/drawing/2014/main" id="{723D73A9-61C3-455A-83F8-513C604033A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3429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633</xdr:row>
      <xdr:rowOff>0</xdr:rowOff>
    </xdr:from>
    <xdr:ext cx="152400" cy="152400"/>
    <xdr:pic>
      <xdr:nvPicPr>
        <xdr:cNvPr id="606" name="Immagine 605" descr="http://demaco.consob/ArchiflowWeb/images/indicator.gif">
          <a:extLst>
            <a:ext uri="{FF2B5EF4-FFF2-40B4-BE49-F238E27FC236}">
              <a16:creationId xmlns:a16="http://schemas.microsoft.com/office/drawing/2014/main" id="{42EB486D-6CFD-4087-B128-A07767A832AA}"/>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3429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633</xdr:row>
      <xdr:rowOff>0</xdr:rowOff>
    </xdr:from>
    <xdr:ext cx="152400" cy="152400"/>
    <xdr:pic>
      <xdr:nvPicPr>
        <xdr:cNvPr id="607" name="Immagine 606" descr="http://demaco.consob/ArchiflowWeb/images/indicator.gif">
          <a:extLst>
            <a:ext uri="{FF2B5EF4-FFF2-40B4-BE49-F238E27FC236}">
              <a16:creationId xmlns:a16="http://schemas.microsoft.com/office/drawing/2014/main" id="{138E948F-509B-4060-8ECE-BCF35C281D34}"/>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3429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633</xdr:row>
      <xdr:rowOff>0</xdr:rowOff>
    </xdr:from>
    <xdr:ext cx="152400" cy="152400"/>
    <xdr:pic>
      <xdr:nvPicPr>
        <xdr:cNvPr id="608" name="Immagine 607" descr="http://demaco.consob/ArchiflowWeb/images/indicator.gif">
          <a:extLst>
            <a:ext uri="{FF2B5EF4-FFF2-40B4-BE49-F238E27FC236}">
              <a16:creationId xmlns:a16="http://schemas.microsoft.com/office/drawing/2014/main" id="{1F7F7315-8E54-4826-876E-8921BC47E1FF}"/>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3429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633</xdr:row>
      <xdr:rowOff>0</xdr:rowOff>
    </xdr:from>
    <xdr:ext cx="152400" cy="152400"/>
    <xdr:pic>
      <xdr:nvPicPr>
        <xdr:cNvPr id="609" name="Immagine 608" descr="http://demaco.consob/ArchiflowWeb/images/indicator.gif">
          <a:extLst>
            <a:ext uri="{FF2B5EF4-FFF2-40B4-BE49-F238E27FC236}">
              <a16:creationId xmlns:a16="http://schemas.microsoft.com/office/drawing/2014/main" id="{D926A0D4-EC2B-464D-9865-C40A47005B53}"/>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3429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633</xdr:row>
      <xdr:rowOff>0</xdr:rowOff>
    </xdr:from>
    <xdr:ext cx="152400" cy="152400"/>
    <xdr:pic>
      <xdr:nvPicPr>
        <xdr:cNvPr id="610" name="Immagine 609" descr="http://demaco.consob/ArchiflowWeb/images/indicator.gif">
          <a:extLst>
            <a:ext uri="{FF2B5EF4-FFF2-40B4-BE49-F238E27FC236}">
              <a16:creationId xmlns:a16="http://schemas.microsoft.com/office/drawing/2014/main" id="{7CDEC347-47A8-4F22-8C94-9B3DAD85E222}"/>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3429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633</xdr:row>
      <xdr:rowOff>0</xdr:rowOff>
    </xdr:from>
    <xdr:ext cx="152400" cy="152400"/>
    <xdr:pic>
      <xdr:nvPicPr>
        <xdr:cNvPr id="611" name="Immagine 610" descr="http://demaco.consob/ArchiflowWeb/images/indicator.gif">
          <a:extLst>
            <a:ext uri="{FF2B5EF4-FFF2-40B4-BE49-F238E27FC236}">
              <a16:creationId xmlns:a16="http://schemas.microsoft.com/office/drawing/2014/main" id="{8E6BF700-626A-4DCC-A193-CAB7E7B4AEE6}"/>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3429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633</xdr:row>
      <xdr:rowOff>0</xdr:rowOff>
    </xdr:from>
    <xdr:ext cx="152400" cy="152400"/>
    <xdr:pic>
      <xdr:nvPicPr>
        <xdr:cNvPr id="612" name="Immagine 611" descr="http://demaco.consob/ArchiflowWeb/images/indicator.gif">
          <a:extLst>
            <a:ext uri="{FF2B5EF4-FFF2-40B4-BE49-F238E27FC236}">
              <a16:creationId xmlns:a16="http://schemas.microsoft.com/office/drawing/2014/main" id="{A5FB5BB2-817B-4A7D-A481-3B77A592EBF8}"/>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3429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633</xdr:row>
      <xdr:rowOff>0</xdr:rowOff>
    </xdr:from>
    <xdr:ext cx="152400" cy="152400"/>
    <xdr:pic>
      <xdr:nvPicPr>
        <xdr:cNvPr id="613" name="Immagine 612" descr="http://demaco.consob/ArchiflowWeb/images/indicator.gif">
          <a:extLst>
            <a:ext uri="{FF2B5EF4-FFF2-40B4-BE49-F238E27FC236}">
              <a16:creationId xmlns:a16="http://schemas.microsoft.com/office/drawing/2014/main" id="{86E09AE5-3E37-4754-85A7-8A2F8AC987B3}"/>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3429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633</xdr:row>
      <xdr:rowOff>0</xdr:rowOff>
    </xdr:from>
    <xdr:ext cx="152400" cy="152400"/>
    <xdr:pic>
      <xdr:nvPicPr>
        <xdr:cNvPr id="614" name="Immagine 613" descr="http://demaco.consob/ArchiflowWeb/images/indicator.gif">
          <a:extLst>
            <a:ext uri="{FF2B5EF4-FFF2-40B4-BE49-F238E27FC236}">
              <a16:creationId xmlns:a16="http://schemas.microsoft.com/office/drawing/2014/main" id="{C4E594B7-2198-43E7-B2B0-8DB36AEF525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3429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633</xdr:row>
      <xdr:rowOff>0</xdr:rowOff>
    </xdr:from>
    <xdr:ext cx="152400" cy="152400"/>
    <xdr:pic>
      <xdr:nvPicPr>
        <xdr:cNvPr id="615" name="Immagine 614" descr="http://demaco.consob/ArchiflowWeb/images/indicator.gif">
          <a:extLst>
            <a:ext uri="{FF2B5EF4-FFF2-40B4-BE49-F238E27FC236}">
              <a16:creationId xmlns:a16="http://schemas.microsoft.com/office/drawing/2014/main" id="{C780D122-DC84-4FB5-864A-4E70F503918E}"/>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3429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633</xdr:row>
      <xdr:rowOff>0</xdr:rowOff>
    </xdr:from>
    <xdr:ext cx="152400" cy="152400"/>
    <xdr:pic>
      <xdr:nvPicPr>
        <xdr:cNvPr id="616" name="Immagine 615" descr="http://demaco.consob/ArchiflowWeb/images/indicator.gif">
          <a:extLst>
            <a:ext uri="{FF2B5EF4-FFF2-40B4-BE49-F238E27FC236}">
              <a16:creationId xmlns:a16="http://schemas.microsoft.com/office/drawing/2014/main" id="{CE6FAB8B-8376-417B-998B-BF7B73223FE9}"/>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3429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633</xdr:row>
      <xdr:rowOff>0</xdr:rowOff>
    </xdr:from>
    <xdr:ext cx="152400" cy="152400"/>
    <xdr:pic>
      <xdr:nvPicPr>
        <xdr:cNvPr id="617" name="Immagine 616" descr="http://demaco.consob/ArchiflowWeb/images/indicator.gif">
          <a:extLst>
            <a:ext uri="{FF2B5EF4-FFF2-40B4-BE49-F238E27FC236}">
              <a16:creationId xmlns:a16="http://schemas.microsoft.com/office/drawing/2014/main" id="{CB2F2756-3461-4E0D-BFA7-BD613132B60D}"/>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3429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633</xdr:row>
      <xdr:rowOff>0</xdr:rowOff>
    </xdr:from>
    <xdr:ext cx="152400" cy="152400"/>
    <xdr:pic>
      <xdr:nvPicPr>
        <xdr:cNvPr id="618" name="Immagine 617" descr="http://demaco.consob/ArchiflowWeb/images/indicator.gif">
          <a:extLst>
            <a:ext uri="{FF2B5EF4-FFF2-40B4-BE49-F238E27FC236}">
              <a16:creationId xmlns:a16="http://schemas.microsoft.com/office/drawing/2014/main" id="{F75E1B90-7CFC-4798-AF3D-2E7D29B56BCE}"/>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3429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633</xdr:row>
      <xdr:rowOff>0</xdr:rowOff>
    </xdr:from>
    <xdr:ext cx="152400" cy="152400"/>
    <xdr:pic>
      <xdr:nvPicPr>
        <xdr:cNvPr id="619" name="Immagine 618" descr="http://demaco.consob/ArchiflowWeb/images/indicator.gif">
          <a:extLst>
            <a:ext uri="{FF2B5EF4-FFF2-40B4-BE49-F238E27FC236}">
              <a16:creationId xmlns:a16="http://schemas.microsoft.com/office/drawing/2014/main" id="{07C202DB-7AD4-41D4-A754-186DAAAC959D}"/>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3429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633</xdr:row>
      <xdr:rowOff>0</xdr:rowOff>
    </xdr:from>
    <xdr:ext cx="152400" cy="152400"/>
    <xdr:pic>
      <xdr:nvPicPr>
        <xdr:cNvPr id="620" name="Immagine 619" descr="http://demaco.consob/ArchiflowWeb/images/indicator.gif">
          <a:extLst>
            <a:ext uri="{FF2B5EF4-FFF2-40B4-BE49-F238E27FC236}">
              <a16:creationId xmlns:a16="http://schemas.microsoft.com/office/drawing/2014/main" id="{58FA9067-7335-4E0D-9D3E-F207A1363E34}"/>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3429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633</xdr:row>
      <xdr:rowOff>0</xdr:rowOff>
    </xdr:from>
    <xdr:ext cx="152400" cy="152400"/>
    <xdr:pic>
      <xdr:nvPicPr>
        <xdr:cNvPr id="621" name="Immagine 620" descr="http://demaco.consob/ArchiflowWeb/images/indicator.gif">
          <a:extLst>
            <a:ext uri="{FF2B5EF4-FFF2-40B4-BE49-F238E27FC236}">
              <a16:creationId xmlns:a16="http://schemas.microsoft.com/office/drawing/2014/main" id="{CF29089F-D2C7-4D86-9A0E-ECDC14529FE7}"/>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3429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633</xdr:row>
      <xdr:rowOff>0</xdr:rowOff>
    </xdr:from>
    <xdr:ext cx="152400" cy="152400"/>
    <xdr:pic>
      <xdr:nvPicPr>
        <xdr:cNvPr id="622" name="Immagine 621" descr="http://demaco.consob/ArchiflowWeb/images/indicator.gif">
          <a:extLst>
            <a:ext uri="{FF2B5EF4-FFF2-40B4-BE49-F238E27FC236}">
              <a16:creationId xmlns:a16="http://schemas.microsoft.com/office/drawing/2014/main" id="{260F4296-8056-43FC-843E-A742AA398857}"/>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3429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633</xdr:row>
      <xdr:rowOff>0</xdr:rowOff>
    </xdr:from>
    <xdr:ext cx="152400" cy="152400"/>
    <xdr:pic>
      <xdr:nvPicPr>
        <xdr:cNvPr id="623" name="Immagine 622" descr="http://demaco.consob/ArchiflowWeb/images/indicator.gif">
          <a:extLst>
            <a:ext uri="{FF2B5EF4-FFF2-40B4-BE49-F238E27FC236}">
              <a16:creationId xmlns:a16="http://schemas.microsoft.com/office/drawing/2014/main" id="{D6E7124E-1FE6-47AB-8572-C82EF26ADB5D}"/>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3429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633</xdr:row>
      <xdr:rowOff>0</xdr:rowOff>
    </xdr:from>
    <xdr:ext cx="152400" cy="152400"/>
    <xdr:pic>
      <xdr:nvPicPr>
        <xdr:cNvPr id="624" name="Immagine 623" descr="http://demaco.consob/ArchiflowWeb/images/indicator.gif">
          <a:extLst>
            <a:ext uri="{FF2B5EF4-FFF2-40B4-BE49-F238E27FC236}">
              <a16:creationId xmlns:a16="http://schemas.microsoft.com/office/drawing/2014/main" id="{AB6A4D7A-D9AD-40DE-BE06-C97626683259}"/>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3429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633</xdr:row>
      <xdr:rowOff>0</xdr:rowOff>
    </xdr:from>
    <xdr:ext cx="152400" cy="152400"/>
    <xdr:pic>
      <xdr:nvPicPr>
        <xdr:cNvPr id="625" name="Immagine 624" descr="http://demaco.consob/ArchiflowWeb/images/indicator.gif">
          <a:extLst>
            <a:ext uri="{FF2B5EF4-FFF2-40B4-BE49-F238E27FC236}">
              <a16:creationId xmlns:a16="http://schemas.microsoft.com/office/drawing/2014/main" id="{386BDF41-19E7-4638-A0BE-66A43BA3737B}"/>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3429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633</xdr:row>
      <xdr:rowOff>0</xdr:rowOff>
    </xdr:from>
    <xdr:ext cx="152400" cy="152400"/>
    <xdr:pic>
      <xdr:nvPicPr>
        <xdr:cNvPr id="626" name="Immagine 625" descr="http://demaco.consob/ArchiflowWeb/images/indicator.gif">
          <a:extLst>
            <a:ext uri="{FF2B5EF4-FFF2-40B4-BE49-F238E27FC236}">
              <a16:creationId xmlns:a16="http://schemas.microsoft.com/office/drawing/2014/main" id="{34C17B16-4B34-4672-AD4F-5DB9CA7DC9DB}"/>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3429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633</xdr:row>
      <xdr:rowOff>0</xdr:rowOff>
    </xdr:from>
    <xdr:ext cx="152400" cy="152400"/>
    <xdr:pic>
      <xdr:nvPicPr>
        <xdr:cNvPr id="627" name="Immagine 626" descr="http://demaco.consob/ArchiflowWeb/images/indicator.gif">
          <a:extLst>
            <a:ext uri="{FF2B5EF4-FFF2-40B4-BE49-F238E27FC236}">
              <a16:creationId xmlns:a16="http://schemas.microsoft.com/office/drawing/2014/main" id="{F5C723EC-83CD-468E-912F-3F7EB898A77C}"/>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3429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633</xdr:row>
      <xdr:rowOff>0</xdr:rowOff>
    </xdr:from>
    <xdr:ext cx="152400" cy="152400"/>
    <xdr:pic>
      <xdr:nvPicPr>
        <xdr:cNvPr id="628" name="Immagine 627" descr="http://demaco.consob/ArchiflowWeb/images/indicator.gif">
          <a:extLst>
            <a:ext uri="{FF2B5EF4-FFF2-40B4-BE49-F238E27FC236}">
              <a16:creationId xmlns:a16="http://schemas.microsoft.com/office/drawing/2014/main" id="{C0C0B62C-8363-450F-8926-AB2360C8AC3F}"/>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3429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633</xdr:row>
      <xdr:rowOff>0</xdr:rowOff>
    </xdr:from>
    <xdr:ext cx="152400" cy="152400"/>
    <xdr:pic>
      <xdr:nvPicPr>
        <xdr:cNvPr id="629" name="Immagine 628" descr="http://demaco.consob/ArchiflowWeb/images/indicator.gif">
          <a:extLst>
            <a:ext uri="{FF2B5EF4-FFF2-40B4-BE49-F238E27FC236}">
              <a16:creationId xmlns:a16="http://schemas.microsoft.com/office/drawing/2014/main" id="{1B459C8F-66B4-4072-82AE-D46C69C472AF}"/>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3429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633</xdr:row>
      <xdr:rowOff>0</xdr:rowOff>
    </xdr:from>
    <xdr:ext cx="152400" cy="152400"/>
    <xdr:pic>
      <xdr:nvPicPr>
        <xdr:cNvPr id="630" name="Immagine 629" descr="http://demaco.consob/ArchiflowWeb/images/indicator.gif">
          <a:extLst>
            <a:ext uri="{FF2B5EF4-FFF2-40B4-BE49-F238E27FC236}">
              <a16:creationId xmlns:a16="http://schemas.microsoft.com/office/drawing/2014/main" id="{D127B8EC-3208-48C6-B5D5-C7BD86878C1F}"/>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3429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633</xdr:row>
      <xdr:rowOff>0</xdr:rowOff>
    </xdr:from>
    <xdr:ext cx="152400" cy="152400"/>
    <xdr:pic>
      <xdr:nvPicPr>
        <xdr:cNvPr id="631" name="Immagine 630" descr="http://demaco.consob/ArchiflowWeb/images/indicator.gif">
          <a:extLst>
            <a:ext uri="{FF2B5EF4-FFF2-40B4-BE49-F238E27FC236}">
              <a16:creationId xmlns:a16="http://schemas.microsoft.com/office/drawing/2014/main" id="{87F5CDEE-F4A7-47F5-AAC8-BE3D26DC4BB1}"/>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3429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633</xdr:row>
      <xdr:rowOff>0</xdr:rowOff>
    </xdr:from>
    <xdr:ext cx="152400" cy="152400"/>
    <xdr:pic>
      <xdr:nvPicPr>
        <xdr:cNvPr id="632" name="Immagine 631" descr="http://demaco.consob/ArchiflowWeb/images/indicator.gif">
          <a:extLst>
            <a:ext uri="{FF2B5EF4-FFF2-40B4-BE49-F238E27FC236}">
              <a16:creationId xmlns:a16="http://schemas.microsoft.com/office/drawing/2014/main" id="{D7521AE2-DE43-40FD-8811-DD0575F3CD5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3429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633</xdr:row>
      <xdr:rowOff>0</xdr:rowOff>
    </xdr:from>
    <xdr:ext cx="152400" cy="152400"/>
    <xdr:pic>
      <xdr:nvPicPr>
        <xdr:cNvPr id="633" name="Immagine 632" descr="http://demaco.consob/ArchiflowWeb/images/indicator.gif">
          <a:extLst>
            <a:ext uri="{FF2B5EF4-FFF2-40B4-BE49-F238E27FC236}">
              <a16:creationId xmlns:a16="http://schemas.microsoft.com/office/drawing/2014/main" id="{D7269C48-2B77-478A-BF77-53B709B88B75}"/>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3429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633</xdr:row>
      <xdr:rowOff>0</xdr:rowOff>
    </xdr:from>
    <xdr:ext cx="152400" cy="152400"/>
    <xdr:pic>
      <xdr:nvPicPr>
        <xdr:cNvPr id="634" name="Immagine 633" descr="http://demaco.consob/ArchiflowWeb/images/indicator.gif">
          <a:extLst>
            <a:ext uri="{FF2B5EF4-FFF2-40B4-BE49-F238E27FC236}">
              <a16:creationId xmlns:a16="http://schemas.microsoft.com/office/drawing/2014/main" id="{BF46D47C-CB05-4729-854B-90346C6D6B4A}"/>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3429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633</xdr:row>
      <xdr:rowOff>0</xdr:rowOff>
    </xdr:from>
    <xdr:ext cx="152400" cy="152400"/>
    <xdr:pic>
      <xdr:nvPicPr>
        <xdr:cNvPr id="635" name="Immagine 634" descr="http://demaco.consob/ArchiflowWeb/images/indicator.gif">
          <a:extLst>
            <a:ext uri="{FF2B5EF4-FFF2-40B4-BE49-F238E27FC236}">
              <a16:creationId xmlns:a16="http://schemas.microsoft.com/office/drawing/2014/main" id="{92B46B63-104B-4F7C-A230-6AD8017C10BE}"/>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3429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633</xdr:row>
      <xdr:rowOff>0</xdr:rowOff>
    </xdr:from>
    <xdr:ext cx="152400" cy="152400"/>
    <xdr:pic>
      <xdr:nvPicPr>
        <xdr:cNvPr id="636" name="Immagine 635" descr="http://demaco.consob/ArchiflowWeb/images/indicator.gif">
          <a:extLst>
            <a:ext uri="{FF2B5EF4-FFF2-40B4-BE49-F238E27FC236}">
              <a16:creationId xmlns:a16="http://schemas.microsoft.com/office/drawing/2014/main" id="{15C93B8E-A9DA-4C00-8C15-F086FA928634}"/>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3429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633</xdr:row>
      <xdr:rowOff>0</xdr:rowOff>
    </xdr:from>
    <xdr:ext cx="152400" cy="152400"/>
    <xdr:pic>
      <xdr:nvPicPr>
        <xdr:cNvPr id="637" name="Immagine 636" descr="http://demaco.consob/ArchiflowWeb/images/indicator.gif">
          <a:extLst>
            <a:ext uri="{FF2B5EF4-FFF2-40B4-BE49-F238E27FC236}">
              <a16:creationId xmlns:a16="http://schemas.microsoft.com/office/drawing/2014/main" id="{1498E8E2-6A71-43B6-BABE-3B8205BAA534}"/>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3429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633</xdr:row>
      <xdr:rowOff>0</xdr:rowOff>
    </xdr:from>
    <xdr:ext cx="152400" cy="152400"/>
    <xdr:pic>
      <xdr:nvPicPr>
        <xdr:cNvPr id="638" name="Immagine 637" descr="http://demaco.consob/ArchiflowWeb/images/indicator.gif">
          <a:extLst>
            <a:ext uri="{FF2B5EF4-FFF2-40B4-BE49-F238E27FC236}">
              <a16:creationId xmlns:a16="http://schemas.microsoft.com/office/drawing/2014/main" id="{0489C42B-6400-43F4-BBEB-2BB42C5DF094}"/>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3429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633</xdr:row>
      <xdr:rowOff>0</xdr:rowOff>
    </xdr:from>
    <xdr:ext cx="152400" cy="152400"/>
    <xdr:pic>
      <xdr:nvPicPr>
        <xdr:cNvPr id="639" name="Immagine 638" descr="http://demaco.consob/ArchiflowWeb/images/indicator.gif">
          <a:extLst>
            <a:ext uri="{FF2B5EF4-FFF2-40B4-BE49-F238E27FC236}">
              <a16:creationId xmlns:a16="http://schemas.microsoft.com/office/drawing/2014/main" id="{E5CF6A4F-5A34-45D3-85EC-6B4EDD62E908}"/>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3429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633</xdr:row>
      <xdr:rowOff>0</xdr:rowOff>
    </xdr:from>
    <xdr:ext cx="152400" cy="152400"/>
    <xdr:pic>
      <xdr:nvPicPr>
        <xdr:cNvPr id="640" name="Immagine 639" descr="http://demaco.consob/ArchiflowWeb/images/indicator.gif">
          <a:extLst>
            <a:ext uri="{FF2B5EF4-FFF2-40B4-BE49-F238E27FC236}">
              <a16:creationId xmlns:a16="http://schemas.microsoft.com/office/drawing/2014/main" id="{B4EA331F-1636-431A-B17C-74F7817AA26D}"/>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3429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633</xdr:row>
      <xdr:rowOff>0</xdr:rowOff>
    </xdr:from>
    <xdr:ext cx="152400" cy="152400"/>
    <xdr:pic>
      <xdr:nvPicPr>
        <xdr:cNvPr id="641" name="Immagine 640" descr="http://demaco.consob/ArchiflowWeb/images/indicator.gif">
          <a:extLst>
            <a:ext uri="{FF2B5EF4-FFF2-40B4-BE49-F238E27FC236}">
              <a16:creationId xmlns:a16="http://schemas.microsoft.com/office/drawing/2014/main" id="{4E08BC90-4F72-4105-A32F-6E4B5179746D}"/>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3429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633</xdr:row>
      <xdr:rowOff>0</xdr:rowOff>
    </xdr:from>
    <xdr:ext cx="152400" cy="152400"/>
    <xdr:pic>
      <xdr:nvPicPr>
        <xdr:cNvPr id="642" name="Immagine 641" descr="http://demaco.consob/ArchiflowWeb/images/indicator.gif">
          <a:extLst>
            <a:ext uri="{FF2B5EF4-FFF2-40B4-BE49-F238E27FC236}">
              <a16:creationId xmlns:a16="http://schemas.microsoft.com/office/drawing/2014/main" id="{5C6DA1C5-A8D3-47C3-8AE3-E5A148094AE3}"/>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3429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633</xdr:row>
      <xdr:rowOff>0</xdr:rowOff>
    </xdr:from>
    <xdr:ext cx="152400" cy="152400"/>
    <xdr:pic>
      <xdr:nvPicPr>
        <xdr:cNvPr id="643" name="Immagine 642" descr="http://demaco.consob/ArchiflowWeb/images/indicator.gif">
          <a:extLst>
            <a:ext uri="{FF2B5EF4-FFF2-40B4-BE49-F238E27FC236}">
              <a16:creationId xmlns:a16="http://schemas.microsoft.com/office/drawing/2014/main" id="{29586E1A-F730-432E-8859-2DCDFA39E158}"/>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3429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633</xdr:row>
      <xdr:rowOff>0</xdr:rowOff>
    </xdr:from>
    <xdr:ext cx="152400" cy="152400"/>
    <xdr:pic>
      <xdr:nvPicPr>
        <xdr:cNvPr id="644" name="Immagine 643" descr="http://demaco.consob/ArchiflowWeb/images/indicator.gif">
          <a:extLst>
            <a:ext uri="{FF2B5EF4-FFF2-40B4-BE49-F238E27FC236}">
              <a16:creationId xmlns:a16="http://schemas.microsoft.com/office/drawing/2014/main" id="{D6E141DA-467F-45AB-A2CF-AA5F2113E581}"/>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3429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633</xdr:row>
      <xdr:rowOff>0</xdr:rowOff>
    </xdr:from>
    <xdr:ext cx="152400" cy="152400"/>
    <xdr:pic>
      <xdr:nvPicPr>
        <xdr:cNvPr id="645" name="Immagine 644" descr="http://demaco.consob/ArchiflowWeb/images/indicator.gif">
          <a:extLst>
            <a:ext uri="{FF2B5EF4-FFF2-40B4-BE49-F238E27FC236}">
              <a16:creationId xmlns:a16="http://schemas.microsoft.com/office/drawing/2014/main" id="{9BDA067A-33F3-4E83-8AF4-B6F3F3A91F65}"/>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3429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633</xdr:row>
      <xdr:rowOff>0</xdr:rowOff>
    </xdr:from>
    <xdr:ext cx="152400" cy="152400"/>
    <xdr:pic>
      <xdr:nvPicPr>
        <xdr:cNvPr id="646" name="Immagine 645" descr="http://demaco.consob/ArchiflowWeb/images/indicator.gif">
          <a:extLst>
            <a:ext uri="{FF2B5EF4-FFF2-40B4-BE49-F238E27FC236}">
              <a16:creationId xmlns:a16="http://schemas.microsoft.com/office/drawing/2014/main" id="{3EEA1CD6-29B4-4FA4-8BFD-EA5797FD79FF}"/>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3429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633</xdr:row>
      <xdr:rowOff>0</xdr:rowOff>
    </xdr:from>
    <xdr:ext cx="152400" cy="152400"/>
    <xdr:pic>
      <xdr:nvPicPr>
        <xdr:cNvPr id="647" name="Immagine 646" descr="http://demaco.consob/ArchiflowWeb/images/indicator.gif">
          <a:extLst>
            <a:ext uri="{FF2B5EF4-FFF2-40B4-BE49-F238E27FC236}">
              <a16:creationId xmlns:a16="http://schemas.microsoft.com/office/drawing/2014/main" id="{5D3BE708-3BC9-4D0A-A856-A61828A50811}"/>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3429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633</xdr:row>
      <xdr:rowOff>0</xdr:rowOff>
    </xdr:from>
    <xdr:ext cx="152400" cy="152400"/>
    <xdr:pic>
      <xdr:nvPicPr>
        <xdr:cNvPr id="648" name="Immagine 647" descr="http://demaco.consob/ArchiflowWeb/images/indicator.gif">
          <a:extLst>
            <a:ext uri="{FF2B5EF4-FFF2-40B4-BE49-F238E27FC236}">
              <a16:creationId xmlns:a16="http://schemas.microsoft.com/office/drawing/2014/main" id="{F9A09C20-E302-4995-9532-A9D9837D0AE6}"/>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3429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633</xdr:row>
      <xdr:rowOff>0</xdr:rowOff>
    </xdr:from>
    <xdr:ext cx="152400" cy="152400"/>
    <xdr:pic>
      <xdr:nvPicPr>
        <xdr:cNvPr id="649" name="Immagine 648" descr="http://demaco.consob/ArchiflowWeb/images/indicator.gif">
          <a:extLst>
            <a:ext uri="{FF2B5EF4-FFF2-40B4-BE49-F238E27FC236}">
              <a16:creationId xmlns:a16="http://schemas.microsoft.com/office/drawing/2014/main" id="{6A01FDED-9AA0-46AF-9D95-ED8B15DB6CC5}"/>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3429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633</xdr:row>
      <xdr:rowOff>0</xdr:rowOff>
    </xdr:from>
    <xdr:ext cx="152400" cy="152400"/>
    <xdr:pic>
      <xdr:nvPicPr>
        <xdr:cNvPr id="650" name="Immagine 649" descr="http://demaco.consob/ArchiflowWeb/images/indicator.gif">
          <a:extLst>
            <a:ext uri="{FF2B5EF4-FFF2-40B4-BE49-F238E27FC236}">
              <a16:creationId xmlns:a16="http://schemas.microsoft.com/office/drawing/2014/main" id="{DD48A006-192E-4200-9668-36050D3977B8}"/>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3429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633</xdr:row>
      <xdr:rowOff>0</xdr:rowOff>
    </xdr:from>
    <xdr:ext cx="152400" cy="152400"/>
    <xdr:pic>
      <xdr:nvPicPr>
        <xdr:cNvPr id="651" name="Immagine 650" descr="http://demaco.consob/ArchiflowWeb/images/indicator.gif">
          <a:extLst>
            <a:ext uri="{FF2B5EF4-FFF2-40B4-BE49-F238E27FC236}">
              <a16:creationId xmlns:a16="http://schemas.microsoft.com/office/drawing/2014/main" id="{FB12095E-88BE-4CDD-9FD8-67005C57088A}"/>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3429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633</xdr:row>
      <xdr:rowOff>0</xdr:rowOff>
    </xdr:from>
    <xdr:ext cx="152400" cy="152400"/>
    <xdr:pic>
      <xdr:nvPicPr>
        <xdr:cNvPr id="652" name="Immagine 651" descr="http://demaco.consob/ArchiflowWeb/images/indicator.gif">
          <a:extLst>
            <a:ext uri="{FF2B5EF4-FFF2-40B4-BE49-F238E27FC236}">
              <a16:creationId xmlns:a16="http://schemas.microsoft.com/office/drawing/2014/main" id="{794D47F0-8DFC-4C9B-8C8A-68A752F31061}"/>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3429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633</xdr:row>
      <xdr:rowOff>0</xdr:rowOff>
    </xdr:from>
    <xdr:ext cx="152400" cy="152400"/>
    <xdr:pic>
      <xdr:nvPicPr>
        <xdr:cNvPr id="653" name="Immagine 652" descr="http://demaco.consob/ArchiflowWeb/images/indicator.gif">
          <a:extLst>
            <a:ext uri="{FF2B5EF4-FFF2-40B4-BE49-F238E27FC236}">
              <a16:creationId xmlns:a16="http://schemas.microsoft.com/office/drawing/2014/main" id="{7330C592-E2C3-413A-8F5A-CAFFB38CA72B}"/>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3429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633</xdr:row>
      <xdr:rowOff>0</xdr:rowOff>
    </xdr:from>
    <xdr:ext cx="152400" cy="152400"/>
    <xdr:pic>
      <xdr:nvPicPr>
        <xdr:cNvPr id="654" name="Immagine 653" descr="http://demaco.consob/ArchiflowWeb/images/indicator.gif">
          <a:extLst>
            <a:ext uri="{FF2B5EF4-FFF2-40B4-BE49-F238E27FC236}">
              <a16:creationId xmlns:a16="http://schemas.microsoft.com/office/drawing/2014/main" id="{385647CD-22EF-4ABE-85EA-2290EDF19FD8}"/>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3429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633</xdr:row>
      <xdr:rowOff>0</xdr:rowOff>
    </xdr:from>
    <xdr:ext cx="152400" cy="152400"/>
    <xdr:pic>
      <xdr:nvPicPr>
        <xdr:cNvPr id="655" name="Immagine 654" descr="http://demaco.consob/ArchiflowWeb/images/indicator.gif">
          <a:extLst>
            <a:ext uri="{FF2B5EF4-FFF2-40B4-BE49-F238E27FC236}">
              <a16:creationId xmlns:a16="http://schemas.microsoft.com/office/drawing/2014/main" id="{F38B7CE2-15F1-4662-AACF-8B7BABB147F8}"/>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3429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633</xdr:row>
      <xdr:rowOff>0</xdr:rowOff>
    </xdr:from>
    <xdr:ext cx="152400" cy="152400"/>
    <xdr:pic>
      <xdr:nvPicPr>
        <xdr:cNvPr id="656" name="Immagine 655" descr="http://demaco.consob/ArchiflowWeb/images/indicator.gif">
          <a:extLst>
            <a:ext uri="{FF2B5EF4-FFF2-40B4-BE49-F238E27FC236}">
              <a16:creationId xmlns:a16="http://schemas.microsoft.com/office/drawing/2014/main" id="{4FAC82AC-8F89-4AEA-B5F4-4FA246216B37}"/>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3429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633</xdr:row>
      <xdr:rowOff>0</xdr:rowOff>
    </xdr:from>
    <xdr:ext cx="152400" cy="152400"/>
    <xdr:pic>
      <xdr:nvPicPr>
        <xdr:cNvPr id="657" name="Immagine 656" descr="http://demaco.consob/ArchiflowWeb/images/indicator.gif">
          <a:extLst>
            <a:ext uri="{FF2B5EF4-FFF2-40B4-BE49-F238E27FC236}">
              <a16:creationId xmlns:a16="http://schemas.microsoft.com/office/drawing/2014/main" id="{0D4F841E-8C55-4E15-8D0F-D95F141C8468}"/>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3429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633</xdr:row>
      <xdr:rowOff>0</xdr:rowOff>
    </xdr:from>
    <xdr:ext cx="152400" cy="152400"/>
    <xdr:pic>
      <xdr:nvPicPr>
        <xdr:cNvPr id="658" name="Immagine 657" descr="http://demaco.consob/ArchiflowWeb/images/indicator.gif">
          <a:extLst>
            <a:ext uri="{FF2B5EF4-FFF2-40B4-BE49-F238E27FC236}">
              <a16:creationId xmlns:a16="http://schemas.microsoft.com/office/drawing/2014/main" id="{F53F6853-B662-48A0-A56D-872658C4FEF4}"/>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3429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633</xdr:row>
      <xdr:rowOff>0</xdr:rowOff>
    </xdr:from>
    <xdr:ext cx="152400" cy="152400"/>
    <xdr:pic>
      <xdr:nvPicPr>
        <xdr:cNvPr id="659" name="Immagine 658" descr="http://demaco.consob/ArchiflowWeb/images/indicator.gif">
          <a:extLst>
            <a:ext uri="{FF2B5EF4-FFF2-40B4-BE49-F238E27FC236}">
              <a16:creationId xmlns:a16="http://schemas.microsoft.com/office/drawing/2014/main" id="{3FF5C1B7-3A5C-4682-AE67-BB9E0C434176}"/>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3429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633</xdr:row>
      <xdr:rowOff>0</xdr:rowOff>
    </xdr:from>
    <xdr:ext cx="152400" cy="152400"/>
    <xdr:pic>
      <xdr:nvPicPr>
        <xdr:cNvPr id="660" name="Immagine 659" descr="http://demaco.consob/ArchiflowWeb/images/indicator.gif">
          <a:extLst>
            <a:ext uri="{FF2B5EF4-FFF2-40B4-BE49-F238E27FC236}">
              <a16:creationId xmlns:a16="http://schemas.microsoft.com/office/drawing/2014/main" id="{7816E259-B198-4C6D-8387-CE3D7A58CCF3}"/>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3429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633</xdr:row>
      <xdr:rowOff>0</xdr:rowOff>
    </xdr:from>
    <xdr:ext cx="152400" cy="152400"/>
    <xdr:pic>
      <xdr:nvPicPr>
        <xdr:cNvPr id="661" name="Immagine 660" descr="http://demaco.consob/ArchiflowWeb/images/indicator.gif">
          <a:extLst>
            <a:ext uri="{FF2B5EF4-FFF2-40B4-BE49-F238E27FC236}">
              <a16:creationId xmlns:a16="http://schemas.microsoft.com/office/drawing/2014/main" id="{D9CE7B53-ECB6-4B96-AD40-0E04728C14A7}"/>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3429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665</xdr:row>
      <xdr:rowOff>0</xdr:rowOff>
    </xdr:from>
    <xdr:ext cx="152400" cy="152400"/>
    <xdr:pic>
      <xdr:nvPicPr>
        <xdr:cNvPr id="662" name="Immagine 661" descr="http://demaco.consob/ArchiflowWeb/images/indicator.gif">
          <a:extLst>
            <a:ext uri="{FF2B5EF4-FFF2-40B4-BE49-F238E27FC236}">
              <a16:creationId xmlns:a16="http://schemas.microsoft.com/office/drawing/2014/main" id="{3565E33F-D644-4E28-B67B-13AA7BEF890B}"/>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31623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665</xdr:row>
      <xdr:rowOff>0</xdr:rowOff>
    </xdr:from>
    <xdr:ext cx="152400" cy="152400"/>
    <xdr:pic>
      <xdr:nvPicPr>
        <xdr:cNvPr id="663" name="Immagine 662" descr="http://demaco.consob/ArchiflowWeb/images/indicator.gif">
          <a:extLst>
            <a:ext uri="{FF2B5EF4-FFF2-40B4-BE49-F238E27FC236}">
              <a16:creationId xmlns:a16="http://schemas.microsoft.com/office/drawing/2014/main" id="{AEBCADB2-9EC8-410C-8637-835BE24270B3}"/>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31623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665</xdr:row>
      <xdr:rowOff>0</xdr:rowOff>
    </xdr:from>
    <xdr:ext cx="152400" cy="152400"/>
    <xdr:pic>
      <xdr:nvPicPr>
        <xdr:cNvPr id="664" name="Immagine 663" descr="http://demaco.consob/ArchiflowWeb/images/indicator.gif">
          <a:extLst>
            <a:ext uri="{FF2B5EF4-FFF2-40B4-BE49-F238E27FC236}">
              <a16:creationId xmlns:a16="http://schemas.microsoft.com/office/drawing/2014/main" id="{BCB5E0AC-BACF-4E80-9A61-5044E27258B1}"/>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31623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665</xdr:row>
      <xdr:rowOff>0</xdr:rowOff>
    </xdr:from>
    <xdr:ext cx="152400" cy="152400"/>
    <xdr:pic>
      <xdr:nvPicPr>
        <xdr:cNvPr id="665" name="Immagine 664" descr="http://demaco.consob/ArchiflowWeb/images/indicator.gif">
          <a:extLst>
            <a:ext uri="{FF2B5EF4-FFF2-40B4-BE49-F238E27FC236}">
              <a16:creationId xmlns:a16="http://schemas.microsoft.com/office/drawing/2014/main" id="{97EEF8D7-45E9-4EEF-9D24-8E4A78CCBE8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31623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665</xdr:row>
      <xdr:rowOff>0</xdr:rowOff>
    </xdr:from>
    <xdr:ext cx="152400" cy="152400"/>
    <xdr:pic>
      <xdr:nvPicPr>
        <xdr:cNvPr id="666" name="Immagine 665" descr="http://demaco.consob/ArchiflowWeb/images/indicator.gif">
          <a:extLst>
            <a:ext uri="{FF2B5EF4-FFF2-40B4-BE49-F238E27FC236}">
              <a16:creationId xmlns:a16="http://schemas.microsoft.com/office/drawing/2014/main" id="{3CC4A288-B445-49D1-85ED-67AFA76AAF57}"/>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31623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665</xdr:row>
      <xdr:rowOff>0</xdr:rowOff>
    </xdr:from>
    <xdr:ext cx="152400" cy="152400"/>
    <xdr:pic>
      <xdr:nvPicPr>
        <xdr:cNvPr id="667" name="Immagine 666" descr="http://demaco.consob/ArchiflowWeb/images/indicator.gif">
          <a:extLst>
            <a:ext uri="{FF2B5EF4-FFF2-40B4-BE49-F238E27FC236}">
              <a16:creationId xmlns:a16="http://schemas.microsoft.com/office/drawing/2014/main" id="{B0B39E43-77D8-4D61-9E50-371E513FEDF7}"/>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31623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665</xdr:row>
      <xdr:rowOff>0</xdr:rowOff>
    </xdr:from>
    <xdr:ext cx="152400" cy="152400"/>
    <xdr:pic>
      <xdr:nvPicPr>
        <xdr:cNvPr id="668" name="Immagine 667" descr="http://demaco.consob/ArchiflowWeb/images/indicator.gif">
          <a:extLst>
            <a:ext uri="{FF2B5EF4-FFF2-40B4-BE49-F238E27FC236}">
              <a16:creationId xmlns:a16="http://schemas.microsoft.com/office/drawing/2014/main" id="{FB6F492C-B19B-4779-A099-25F56BECF0B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31623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665</xdr:row>
      <xdr:rowOff>0</xdr:rowOff>
    </xdr:from>
    <xdr:ext cx="152400" cy="152400"/>
    <xdr:pic>
      <xdr:nvPicPr>
        <xdr:cNvPr id="669" name="Immagine 668" descr="http://demaco.consob/ArchiflowWeb/images/indicator.gif">
          <a:extLst>
            <a:ext uri="{FF2B5EF4-FFF2-40B4-BE49-F238E27FC236}">
              <a16:creationId xmlns:a16="http://schemas.microsoft.com/office/drawing/2014/main" id="{50EAE059-5001-45B1-9143-18D05F483E44}"/>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31623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665</xdr:row>
      <xdr:rowOff>0</xdr:rowOff>
    </xdr:from>
    <xdr:ext cx="152400" cy="152400"/>
    <xdr:pic>
      <xdr:nvPicPr>
        <xdr:cNvPr id="670" name="Immagine 669" descr="http://demaco.consob/ArchiflowWeb/images/indicator.gif">
          <a:extLst>
            <a:ext uri="{FF2B5EF4-FFF2-40B4-BE49-F238E27FC236}">
              <a16:creationId xmlns:a16="http://schemas.microsoft.com/office/drawing/2014/main" id="{9E4194B2-9A6A-4311-A5C3-AA94B0A2E4D8}"/>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31623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665</xdr:row>
      <xdr:rowOff>0</xdr:rowOff>
    </xdr:from>
    <xdr:ext cx="152400" cy="152400"/>
    <xdr:pic>
      <xdr:nvPicPr>
        <xdr:cNvPr id="671" name="Immagine 670" descr="http://demaco.consob/ArchiflowWeb/images/indicator.gif">
          <a:extLst>
            <a:ext uri="{FF2B5EF4-FFF2-40B4-BE49-F238E27FC236}">
              <a16:creationId xmlns:a16="http://schemas.microsoft.com/office/drawing/2014/main" id="{F57B7B2D-1A6F-4E80-95CC-3190D3C7FB93}"/>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31623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665</xdr:row>
      <xdr:rowOff>0</xdr:rowOff>
    </xdr:from>
    <xdr:ext cx="152400" cy="152400"/>
    <xdr:pic>
      <xdr:nvPicPr>
        <xdr:cNvPr id="672" name="Immagine 671" descr="http://demaco.consob/ArchiflowWeb/images/indicator.gif">
          <a:extLst>
            <a:ext uri="{FF2B5EF4-FFF2-40B4-BE49-F238E27FC236}">
              <a16:creationId xmlns:a16="http://schemas.microsoft.com/office/drawing/2014/main" id="{72644CC1-91E8-4BD0-B7BC-790439C2881A}"/>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31623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665</xdr:row>
      <xdr:rowOff>0</xdr:rowOff>
    </xdr:from>
    <xdr:ext cx="152400" cy="152400"/>
    <xdr:pic>
      <xdr:nvPicPr>
        <xdr:cNvPr id="673" name="Immagine 672" descr="http://demaco.consob/ArchiflowWeb/images/indicator.gif">
          <a:extLst>
            <a:ext uri="{FF2B5EF4-FFF2-40B4-BE49-F238E27FC236}">
              <a16:creationId xmlns:a16="http://schemas.microsoft.com/office/drawing/2014/main" id="{FBB2B6B9-2781-4A0A-8088-514FE1EC4A3A}"/>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31623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665</xdr:row>
      <xdr:rowOff>0</xdr:rowOff>
    </xdr:from>
    <xdr:ext cx="152400" cy="152400"/>
    <xdr:pic>
      <xdr:nvPicPr>
        <xdr:cNvPr id="674" name="Immagine 673" descr="http://demaco.consob/ArchiflowWeb/images/indicator.gif">
          <a:extLst>
            <a:ext uri="{FF2B5EF4-FFF2-40B4-BE49-F238E27FC236}">
              <a16:creationId xmlns:a16="http://schemas.microsoft.com/office/drawing/2014/main" id="{84CED240-D7E1-44F9-8DED-1843C3FD05CB}"/>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31623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665</xdr:row>
      <xdr:rowOff>0</xdr:rowOff>
    </xdr:from>
    <xdr:ext cx="152400" cy="152400"/>
    <xdr:pic>
      <xdr:nvPicPr>
        <xdr:cNvPr id="675" name="Immagine 674" descr="http://demaco.consob/ArchiflowWeb/images/indicator.gif">
          <a:extLst>
            <a:ext uri="{FF2B5EF4-FFF2-40B4-BE49-F238E27FC236}">
              <a16:creationId xmlns:a16="http://schemas.microsoft.com/office/drawing/2014/main" id="{613EDB09-ADCF-4B3A-86D2-C0983967EB53}"/>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31623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665</xdr:row>
      <xdr:rowOff>0</xdr:rowOff>
    </xdr:from>
    <xdr:ext cx="152400" cy="152400"/>
    <xdr:pic>
      <xdr:nvPicPr>
        <xdr:cNvPr id="676" name="Immagine 675" descr="http://demaco.consob/ArchiflowWeb/images/indicator.gif">
          <a:extLst>
            <a:ext uri="{FF2B5EF4-FFF2-40B4-BE49-F238E27FC236}">
              <a16:creationId xmlns:a16="http://schemas.microsoft.com/office/drawing/2014/main" id="{BF43F7DE-051E-476C-B8F9-3C9336E626C9}"/>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31623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665</xdr:row>
      <xdr:rowOff>0</xdr:rowOff>
    </xdr:from>
    <xdr:ext cx="152400" cy="152400"/>
    <xdr:pic>
      <xdr:nvPicPr>
        <xdr:cNvPr id="677" name="Immagine 676" descr="http://demaco.consob/ArchiflowWeb/images/indicator.gif">
          <a:extLst>
            <a:ext uri="{FF2B5EF4-FFF2-40B4-BE49-F238E27FC236}">
              <a16:creationId xmlns:a16="http://schemas.microsoft.com/office/drawing/2014/main" id="{4579BA58-37FE-4E02-839C-AB9CFEECC039}"/>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31623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665</xdr:row>
      <xdr:rowOff>0</xdr:rowOff>
    </xdr:from>
    <xdr:ext cx="152400" cy="152400"/>
    <xdr:pic>
      <xdr:nvPicPr>
        <xdr:cNvPr id="678" name="Immagine 677" descr="http://demaco.consob/ArchiflowWeb/images/indicator.gif">
          <a:extLst>
            <a:ext uri="{FF2B5EF4-FFF2-40B4-BE49-F238E27FC236}">
              <a16:creationId xmlns:a16="http://schemas.microsoft.com/office/drawing/2014/main" id="{27E996B9-99BB-42A1-91BD-4BC15F774673}"/>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31623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665</xdr:row>
      <xdr:rowOff>0</xdr:rowOff>
    </xdr:from>
    <xdr:ext cx="152400" cy="152400"/>
    <xdr:pic>
      <xdr:nvPicPr>
        <xdr:cNvPr id="679" name="Immagine 678" descr="http://demaco.consob/ArchiflowWeb/images/indicator.gif">
          <a:extLst>
            <a:ext uri="{FF2B5EF4-FFF2-40B4-BE49-F238E27FC236}">
              <a16:creationId xmlns:a16="http://schemas.microsoft.com/office/drawing/2014/main" id="{ABBD1D22-ECC2-4331-86C0-FCAD68255095}"/>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31623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665</xdr:row>
      <xdr:rowOff>0</xdr:rowOff>
    </xdr:from>
    <xdr:ext cx="152400" cy="152400"/>
    <xdr:pic>
      <xdr:nvPicPr>
        <xdr:cNvPr id="680" name="Immagine 679" descr="http://demaco.consob/ArchiflowWeb/images/indicator.gif">
          <a:extLst>
            <a:ext uri="{FF2B5EF4-FFF2-40B4-BE49-F238E27FC236}">
              <a16:creationId xmlns:a16="http://schemas.microsoft.com/office/drawing/2014/main" id="{1BA735BA-42E2-402C-ACCF-D4F48A3F5D42}"/>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31623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665</xdr:row>
      <xdr:rowOff>0</xdr:rowOff>
    </xdr:from>
    <xdr:ext cx="152400" cy="152400"/>
    <xdr:pic>
      <xdr:nvPicPr>
        <xdr:cNvPr id="681" name="Immagine 680" descr="http://demaco.consob/ArchiflowWeb/images/indicator.gif">
          <a:extLst>
            <a:ext uri="{FF2B5EF4-FFF2-40B4-BE49-F238E27FC236}">
              <a16:creationId xmlns:a16="http://schemas.microsoft.com/office/drawing/2014/main" id="{2EE7008B-D27C-40ED-8614-27CA52E61D1D}"/>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31623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665</xdr:row>
      <xdr:rowOff>0</xdr:rowOff>
    </xdr:from>
    <xdr:ext cx="152400" cy="152400"/>
    <xdr:pic>
      <xdr:nvPicPr>
        <xdr:cNvPr id="682" name="Immagine 681" descr="http://demaco.consob/ArchiflowWeb/images/indicator.gif">
          <a:extLst>
            <a:ext uri="{FF2B5EF4-FFF2-40B4-BE49-F238E27FC236}">
              <a16:creationId xmlns:a16="http://schemas.microsoft.com/office/drawing/2014/main" id="{E3FB9AFB-141D-4D17-9915-118651FB872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31623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665</xdr:row>
      <xdr:rowOff>0</xdr:rowOff>
    </xdr:from>
    <xdr:ext cx="152400" cy="152400"/>
    <xdr:pic>
      <xdr:nvPicPr>
        <xdr:cNvPr id="683" name="Immagine 682" descr="http://demaco.consob/ArchiflowWeb/images/indicator.gif">
          <a:extLst>
            <a:ext uri="{FF2B5EF4-FFF2-40B4-BE49-F238E27FC236}">
              <a16:creationId xmlns:a16="http://schemas.microsoft.com/office/drawing/2014/main" id="{93B9280A-C810-44D7-A5B6-BF0825521205}"/>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31623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665</xdr:row>
      <xdr:rowOff>0</xdr:rowOff>
    </xdr:from>
    <xdr:ext cx="152400" cy="152400"/>
    <xdr:pic>
      <xdr:nvPicPr>
        <xdr:cNvPr id="684" name="Immagine 683" descr="http://demaco.consob/ArchiflowWeb/images/indicator.gif">
          <a:extLst>
            <a:ext uri="{FF2B5EF4-FFF2-40B4-BE49-F238E27FC236}">
              <a16:creationId xmlns:a16="http://schemas.microsoft.com/office/drawing/2014/main" id="{99D3EC39-202F-4636-8F28-766693919C3F}"/>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31623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665</xdr:row>
      <xdr:rowOff>0</xdr:rowOff>
    </xdr:from>
    <xdr:ext cx="152400" cy="152400"/>
    <xdr:pic>
      <xdr:nvPicPr>
        <xdr:cNvPr id="685" name="Immagine 684" descr="http://demaco.consob/ArchiflowWeb/images/indicator.gif">
          <a:extLst>
            <a:ext uri="{FF2B5EF4-FFF2-40B4-BE49-F238E27FC236}">
              <a16:creationId xmlns:a16="http://schemas.microsoft.com/office/drawing/2014/main" id="{B82798EC-D9C2-4E24-83A2-6094180A9D4F}"/>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31623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665</xdr:row>
      <xdr:rowOff>0</xdr:rowOff>
    </xdr:from>
    <xdr:ext cx="152400" cy="152400"/>
    <xdr:pic>
      <xdr:nvPicPr>
        <xdr:cNvPr id="686" name="Immagine 685" descr="http://demaco.consob/ArchiflowWeb/images/indicator.gif">
          <a:extLst>
            <a:ext uri="{FF2B5EF4-FFF2-40B4-BE49-F238E27FC236}">
              <a16:creationId xmlns:a16="http://schemas.microsoft.com/office/drawing/2014/main" id="{5845F9F5-8D22-4D7C-9A8F-8A2CD5A2A7B1}"/>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31623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665</xdr:row>
      <xdr:rowOff>0</xdr:rowOff>
    </xdr:from>
    <xdr:ext cx="152400" cy="152400"/>
    <xdr:pic>
      <xdr:nvPicPr>
        <xdr:cNvPr id="687" name="Immagine 686" descr="http://demaco.consob/ArchiflowWeb/images/indicator.gif">
          <a:extLst>
            <a:ext uri="{FF2B5EF4-FFF2-40B4-BE49-F238E27FC236}">
              <a16:creationId xmlns:a16="http://schemas.microsoft.com/office/drawing/2014/main" id="{FB200D36-D7B6-4B33-B401-68EC101667FA}"/>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31623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665</xdr:row>
      <xdr:rowOff>0</xdr:rowOff>
    </xdr:from>
    <xdr:ext cx="152400" cy="152400"/>
    <xdr:pic>
      <xdr:nvPicPr>
        <xdr:cNvPr id="688" name="Immagine 687" descr="http://demaco.consob/ArchiflowWeb/images/indicator.gif">
          <a:extLst>
            <a:ext uri="{FF2B5EF4-FFF2-40B4-BE49-F238E27FC236}">
              <a16:creationId xmlns:a16="http://schemas.microsoft.com/office/drawing/2014/main" id="{E00103FC-081C-490B-BF63-21EFE7321D4B}"/>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31623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665</xdr:row>
      <xdr:rowOff>0</xdr:rowOff>
    </xdr:from>
    <xdr:ext cx="152400" cy="152400"/>
    <xdr:pic>
      <xdr:nvPicPr>
        <xdr:cNvPr id="689" name="Immagine 688" descr="http://demaco.consob/ArchiflowWeb/images/indicator.gif">
          <a:extLst>
            <a:ext uri="{FF2B5EF4-FFF2-40B4-BE49-F238E27FC236}">
              <a16:creationId xmlns:a16="http://schemas.microsoft.com/office/drawing/2014/main" id="{DE28F744-B6B7-4458-B5D1-3B2B6EC89417}"/>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31623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665</xdr:row>
      <xdr:rowOff>0</xdr:rowOff>
    </xdr:from>
    <xdr:ext cx="152400" cy="152400"/>
    <xdr:pic>
      <xdr:nvPicPr>
        <xdr:cNvPr id="690" name="Immagine 689" descr="http://demaco.consob/ArchiflowWeb/images/indicator.gif">
          <a:extLst>
            <a:ext uri="{FF2B5EF4-FFF2-40B4-BE49-F238E27FC236}">
              <a16:creationId xmlns:a16="http://schemas.microsoft.com/office/drawing/2014/main" id="{CEF0034E-DFBF-4C08-8AAE-C0342FC7A3DA}"/>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31623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665</xdr:row>
      <xdr:rowOff>0</xdr:rowOff>
    </xdr:from>
    <xdr:ext cx="152400" cy="152400"/>
    <xdr:pic>
      <xdr:nvPicPr>
        <xdr:cNvPr id="691" name="Immagine 690" descr="http://demaco.consob/ArchiflowWeb/images/indicator.gif">
          <a:extLst>
            <a:ext uri="{FF2B5EF4-FFF2-40B4-BE49-F238E27FC236}">
              <a16:creationId xmlns:a16="http://schemas.microsoft.com/office/drawing/2014/main" id="{9AAAFD0B-57B0-40F1-A55F-E33A33A322B2}"/>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31623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665</xdr:row>
      <xdr:rowOff>0</xdr:rowOff>
    </xdr:from>
    <xdr:ext cx="152400" cy="152400"/>
    <xdr:pic>
      <xdr:nvPicPr>
        <xdr:cNvPr id="692" name="Immagine 691" descr="http://demaco.consob/ArchiflowWeb/images/indicator.gif">
          <a:extLst>
            <a:ext uri="{FF2B5EF4-FFF2-40B4-BE49-F238E27FC236}">
              <a16:creationId xmlns:a16="http://schemas.microsoft.com/office/drawing/2014/main" id="{F5CCEABA-3AE4-4475-BC21-2C649553BDDF}"/>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31623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665</xdr:row>
      <xdr:rowOff>0</xdr:rowOff>
    </xdr:from>
    <xdr:ext cx="152400" cy="152400"/>
    <xdr:pic>
      <xdr:nvPicPr>
        <xdr:cNvPr id="693" name="Immagine 692" descr="http://demaco.consob/ArchiflowWeb/images/indicator.gif">
          <a:extLst>
            <a:ext uri="{FF2B5EF4-FFF2-40B4-BE49-F238E27FC236}">
              <a16:creationId xmlns:a16="http://schemas.microsoft.com/office/drawing/2014/main" id="{F02B439B-1F4C-4803-B918-B8A22B78380E}"/>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31623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665</xdr:row>
      <xdr:rowOff>0</xdr:rowOff>
    </xdr:from>
    <xdr:ext cx="152400" cy="152400"/>
    <xdr:pic>
      <xdr:nvPicPr>
        <xdr:cNvPr id="694" name="Immagine 693" descr="http://demaco.consob/ArchiflowWeb/images/indicator.gif">
          <a:extLst>
            <a:ext uri="{FF2B5EF4-FFF2-40B4-BE49-F238E27FC236}">
              <a16:creationId xmlns:a16="http://schemas.microsoft.com/office/drawing/2014/main" id="{65EC027F-C875-40F9-9708-ACD3EE3617E4}"/>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31623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665</xdr:row>
      <xdr:rowOff>0</xdr:rowOff>
    </xdr:from>
    <xdr:ext cx="152400" cy="152400"/>
    <xdr:pic>
      <xdr:nvPicPr>
        <xdr:cNvPr id="695" name="Immagine 694" descr="http://demaco.consob/ArchiflowWeb/images/indicator.gif">
          <a:extLst>
            <a:ext uri="{FF2B5EF4-FFF2-40B4-BE49-F238E27FC236}">
              <a16:creationId xmlns:a16="http://schemas.microsoft.com/office/drawing/2014/main" id="{8AE1607A-2AD5-4582-ABEC-6740657DD807}"/>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31623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665</xdr:row>
      <xdr:rowOff>0</xdr:rowOff>
    </xdr:from>
    <xdr:ext cx="152400" cy="152400"/>
    <xdr:pic>
      <xdr:nvPicPr>
        <xdr:cNvPr id="696" name="Immagine 695" descr="http://demaco.consob/ArchiflowWeb/images/indicator.gif">
          <a:extLst>
            <a:ext uri="{FF2B5EF4-FFF2-40B4-BE49-F238E27FC236}">
              <a16:creationId xmlns:a16="http://schemas.microsoft.com/office/drawing/2014/main" id="{521E26A0-C8F3-468E-89A2-01FE5A64678A}"/>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31623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665</xdr:row>
      <xdr:rowOff>0</xdr:rowOff>
    </xdr:from>
    <xdr:ext cx="152400" cy="152400"/>
    <xdr:pic>
      <xdr:nvPicPr>
        <xdr:cNvPr id="697" name="Immagine 696" descr="http://demaco.consob/ArchiflowWeb/images/indicator.gif">
          <a:extLst>
            <a:ext uri="{FF2B5EF4-FFF2-40B4-BE49-F238E27FC236}">
              <a16:creationId xmlns:a16="http://schemas.microsoft.com/office/drawing/2014/main" id="{D7589AA7-7D3F-4261-86D4-4ADCD9AF6EE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31623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665</xdr:row>
      <xdr:rowOff>0</xdr:rowOff>
    </xdr:from>
    <xdr:ext cx="152400" cy="152400"/>
    <xdr:pic>
      <xdr:nvPicPr>
        <xdr:cNvPr id="698" name="Immagine 697" descr="http://demaco.consob/ArchiflowWeb/images/indicator.gif">
          <a:extLst>
            <a:ext uri="{FF2B5EF4-FFF2-40B4-BE49-F238E27FC236}">
              <a16:creationId xmlns:a16="http://schemas.microsoft.com/office/drawing/2014/main" id="{1A8B17E7-4175-4F0C-ADCA-15181616D161}"/>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31623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665</xdr:row>
      <xdr:rowOff>0</xdr:rowOff>
    </xdr:from>
    <xdr:ext cx="152400" cy="152400"/>
    <xdr:pic>
      <xdr:nvPicPr>
        <xdr:cNvPr id="699" name="Immagine 698" descr="http://demaco.consob/ArchiflowWeb/images/indicator.gif">
          <a:extLst>
            <a:ext uri="{FF2B5EF4-FFF2-40B4-BE49-F238E27FC236}">
              <a16:creationId xmlns:a16="http://schemas.microsoft.com/office/drawing/2014/main" id="{DF129572-C23A-415B-A861-DE07F29FABDF}"/>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31623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665</xdr:row>
      <xdr:rowOff>0</xdr:rowOff>
    </xdr:from>
    <xdr:ext cx="152400" cy="152400"/>
    <xdr:pic>
      <xdr:nvPicPr>
        <xdr:cNvPr id="700" name="Immagine 699" descr="http://demaco.consob/ArchiflowWeb/images/indicator.gif">
          <a:extLst>
            <a:ext uri="{FF2B5EF4-FFF2-40B4-BE49-F238E27FC236}">
              <a16:creationId xmlns:a16="http://schemas.microsoft.com/office/drawing/2014/main" id="{E4EBB225-C8A8-4475-8987-B4EC74A4188F}"/>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31623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665</xdr:row>
      <xdr:rowOff>0</xdr:rowOff>
    </xdr:from>
    <xdr:ext cx="152400" cy="152400"/>
    <xdr:pic>
      <xdr:nvPicPr>
        <xdr:cNvPr id="701" name="Immagine 700" descr="http://demaco.consob/ArchiflowWeb/images/indicator.gif">
          <a:extLst>
            <a:ext uri="{FF2B5EF4-FFF2-40B4-BE49-F238E27FC236}">
              <a16:creationId xmlns:a16="http://schemas.microsoft.com/office/drawing/2014/main" id="{7ECA9662-766D-4813-AEE5-4FE677C96672}"/>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31623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665</xdr:row>
      <xdr:rowOff>0</xdr:rowOff>
    </xdr:from>
    <xdr:ext cx="152400" cy="152400"/>
    <xdr:pic>
      <xdr:nvPicPr>
        <xdr:cNvPr id="702" name="Immagine 701" descr="http://demaco.consob/ArchiflowWeb/images/indicator.gif">
          <a:extLst>
            <a:ext uri="{FF2B5EF4-FFF2-40B4-BE49-F238E27FC236}">
              <a16:creationId xmlns:a16="http://schemas.microsoft.com/office/drawing/2014/main" id="{FA1972DD-A277-4B78-A8F3-65900362B5EF}"/>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31623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665</xdr:row>
      <xdr:rowOff>0</xdr:rowOff>
    </xdr:from>
    <xdr:ext cx="152400" cy="152400"/>
    <xdr:pic>
      <xdr:nvPicPr>
        <xdr:cNvPr id="703" name="Immagine 702" descr="http://demaco.consob/ArchiflowWeb/images/indicator.gif">
          <a:extLst>
            <a:ext uri="{FF2B5EF4-FFF2-40B4-BE49-F238E27FC236}">
              <a16:creationId xmlns:a16="http://schemas.microsoft.com/office/drawing/2014/main" id="{491217EF-D5CA-49FD-BEC3-5FF481AE5A45}"/>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31623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665</xdr:row>
      <xdr:rowOff>0</xdr:rowOff>
    </xdr:from>
    <xdr:ext cx="152400" cy="152400"/>
    <xdr:pic>
      <xdr:nvPicPr>
        <xdr:cNvPr id="704" name="Immagine 703" descr="http://demaco.consob/ArchiflowWeb/images/indicator.gif">
          <a:extLst>
            <a:ext uri="{FF2B5EF4-FFF2-40B4-BE49-F238E27FC236}">
              <a16:creationId xmlns:a16="http://schemas.microsoft.com/office/drawing/2014/main" id="{88CD3BAF-FC99-45E6-8905-2CC1FE8F5A05}"/>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31623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665</xdr:row>
      <xdr:rowOff>0</xdr:rowOff>
    </xdr:from>
    <xdr:ext cx="152400" cy="152400"/>
    <xdr:pic>
      <xdr:nvPicPr>
        <xdr:cNvPr id="705" name="Immagine 704" descr="http://demaco.consob/ArchiflowWeb/images/indicator.gif">
          <a:extLst>
            <a:ext uri="{FF2B5EF4-FFF2-40B4-BE49-F238E27FC236}">
              <a16:creationId xmlns:a16="http://schemas.microsoft.com/office/drawing/2014/main" id="{8D43002A-4335-4C41-B5D4-B1F6E58E25FF}"/>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31623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665</xdr:row>
      <xdr:rowOff>0</xdr:rowOff>
    </xdr:from>
    <xdr:ext cx="152400" cy="152400"/>
    <xdr:pic>
      <xdr:nvPicPr>
        <xdr:cNvPr id="706" name="Immagine 705" descr="http://demaco.consob/ArchiflowWeb/images/indicator.gif">
          <a:extLst>
            <a:ext uri="{FF2B5EF4-FFF2-40B4-BE49-F238E27FC236}">
              <a16:creationId xmlns:a16="http://schemas.microsoft.com/office/drawing/2014/main" id="{21D043A6-0442-435A-B8A2-383B97D67AF5}"/>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31623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665</xdr:row>
      <xdr:rowOff>0</xdr:rowOff>
    </xdr:from>
    <xdr:ext cx="152400" cy="152400"/>
    <xdr:pic>
      <xdr:nvPicPr>
        <xdr:cNvPr id="707" name="Immagine 706" descr="http://demaco.consob/ArchiflowWeb/images/indicator.gif">
          <a:extLst>
            <a:ext uri="{FF2B5EF4-FFF2-40B4-BE49-F238E27FC236}">
              <a16:creationId xmlns:a16="http://schemas.microsoft.com/office/drawing/2014/main" id="{807B67B2-3906-40CC-9697-302AB8DF395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31623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665</xdr:row>
      <xdr:rowOff>0</xdr:rowOff>
    </xdr:from>
    <xdr:ext cx="152400" cy="152400"/>
    <xdr:pic>
      <xdr:nvPicPr>
        <xdr:cNvPr id="708" name="Immagine 707" descr="http://demaco.consob/ArchiflowWeb/images/indicator.gif">
          <a:extLst>
            <a:ext uri="{FF2B5EF4-FFF2-40B4-BE49-F238E27FC236}">
              <a16:creationId xmlns:a16="http://schemas.microsoft.com/office/drawing/2014/main" id="{EFF196E9-CEB2-48D8-AE1C-E9604C09D112}"/>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31623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665</xdr:row>
      <xdr:rowOff>0</xdr:rowOff>
    </xdr:from>
    <xdr:ext cx="152400" cy="152400"/>
    <xdr:pic>
      <xdr:nvPicPr>
        <xdr:cNvPr id="709" name="Immagine 708" descr="http://demaco.consob/ArchiflowWeb/images/indicator.gif">
          <a:extLst>
            <a:ext uri="{FF2B5EF4-FFF2-40B4-BE49-F238E27FC236}">
              <a16:creationId xmlns:a16="http://schemas.microsoft.com/office/drawing/2014/main" id="{34CD7891-F5E2-433B-A12D-B52FBDA958F6}"/>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31623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665</xdr:row>
      <xdr:rowOff>0</xdr:rowOff>
    </xdr:from>
    <xdr:ext cx="152400" cy="152400"/>
    <xdr:pic>
      <xdr:nvPicPr>
        <xdr:cNvPr id="710" name="Immagine 709" descr="http://demaco.consob/ArchiflowWeb/images/indicator.gif">
          <a:extLst>
            <a:ext uri="{FF2B5EF4-FFF2-40B4-BE49-F238E27FC236}">
              <a16:creationId xmlns:a16="http://schemas.microsoft.com/office/drawing/2014/main" id="{9E0D7C2B-9AE8-4670-8D52-E0D379FDD79E}"/>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31623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665</xdr:row>
      <xdr:rowOff>0</xdr:rowOff>
    </xdr:from>
    <xdr:ext cx="152400" cy="152400"/>
    <xdr:pic>
      <xdr:nvPicPr>
        <xdr:cNvPr id="711" name="Immagine 710" descr="http://demaco.consob/ArchiflowWeb/images/indicator.gif">
          <a:extLst>
            <a:ext uri="{FF2B5EF4-FFF2-40B4-BE49-F238E27FC236}">
              <a16:creationId xmlns:a16="http://schemas.microsoft.com/office/drawing/2014/main" id="{DF48C43E-CDB9-4040-AEAC-875C94A16339}"/>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31623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665</xdr:row>
      <xdr:rowOff>0</xdr:rowOff>
    </xdr:from>
    <xdr:ext cx="152400" cy="152400"/>
    <xdr:pic>
      <xdr:nvPicPr>
        <xdr:cNvPr id="712" name="Immagine 711" descr="http://demaco.consob/ArchiflowWeb/images/indicator.gif">
          <a:extLst>
            <a:ext uri="{FF2B5EF4-FFF2-40B4-BE49-F238E27FC236}">
              <a16:creationId xmlns:a16="http://schemas.microsoft.com/office/drawing/2014/main" id="{C368FB42-5C3E-49EC-BECD-19C809C8F9EE}"/>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31623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665</xdr:row>
      <xdr:rowOff>0</xdr:rowOff>
    </xdr:from>
    <xdr:ext cx="152400" cy="152400"/>
    <xdr:pic>
      <xdr:nvPicPr>
        <xdr:cNvPr id="713" name="Immagine 712" descr="http://demaco.consob/ArchiflowWeb/images/indicator.gif">
          <a:extLst>
            <a:ext uri="{FF2B5EF4-FFF2-40B4-BE49-F238E27FC236}">
              <a16:creationId xmlns:a16="http://schemas.microsoft.com/office/drawing/2014/main" id="{C84DE8AF-36F6-448E-851F-EC789A1ADCB2}"/>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31623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665</xdr:row>
      <xdr:rowOff>0</xdr:rowOff>
    </xdr:from>
    <xdr:ext cx="152400" cy="152400"/>
    <xdr:pic>
      <xdr:nvPicPr>
        <xdr:cNvPr id="714" name="Immagine 713" descr="http://demaco.consob/ArchiflowWeb/images/indicator.gif">
          <a:extLst>
            <a:ext uri="{FF2B5EF4-FFF2-40B4-BE49-F238E27FC236}">
              <a16:creationId xmlns:a16="http://schemas.microsoft.com/office/drawing/2014/main" id="{3636FAB5-9F29-4867-9AA8-F7FBE4B852E4}"/>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31623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665</xdr:row>
      <xdr:rowOff>0</xdr:rowOff>
    </xdr:from>
    <xdr:ext cx="152400" cy="152400"/>
    <xdr:pic>
      <xdr:nvPicPr>
        <xdr:cNvPr id="715" name="Immagine 714" descr="http://demaco.consob/ArchiflowWeb/images/indicator.gif">
          <a:extLst>
            <a:ext uri="{FF2B5EF4-FFF2-40B4-BE49-F238E27FC236}">
              <a16:creationId xmlns:a16="http://schemas.microsoft.com/office/drawing/2014/main" id="{0EE0CAD9-C70D-4758-BA52-A5528614FF21}"/>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31623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665</xdr:row>
      <xdr:rowOff>0</xdr:rowOff>
    </xdr:from>
    <xdr:ext cx="152400" cy="152400"/>
    <xdr:pic>
      <xdr:nvPicPr>
        <xdr:cNvPr id="716" name="Immagine 715" descr="http://demaco.consob/ArchiflowWeb/images/indicator.gif">
          <a:extLst>
            <a:ext uri="{FF2B5EF4-FFF2-40B4-BE49-F238E27FC236}">
              <a16:creationId xmlns:a16="http://schemas.microsoft.com/office/drawing/2014/main" id="{F43C4F2B-96CF-44C6-A8DE-6EBA11EFC174}"/>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31623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665</xdr:row>
      <xdr:rowOff>0</xdr:rowOff>
    </xdr:from>
    <xdr:ext cx="152400" cy="152400"/>
    <xdr:pic>
      <xdr:nvPicPr>
        <xdr:cNvPr id="717" name="Immagine 716" descr="http://demaco.consob/ArchiflowWeb/images/indicator.gif">
          <a:extLst>
            <a:ext uri="{FF2B5EF4-FFF2-40B4-BE49-F238E27FC236}">
              <a16:creationId xmlns:a16="http://schemas.microsoft.com/office/drawing/2014/main" id="{4119C16F-D047-4C9B-B928-10831DDA1501}"/>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31623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665</xdr:row>
      <xdr:rowOff>0</xdr:rowOff>
    </xdr:from>
    <xdr:ext cx="152400" cy="152400"/>
    <xdr:pic>
      <xdr:nvPicPr>
        <xdr:cNvPr id="718" name="Immagine 717" descr="http://demaco.consob/ArchiflowWeb/images/indicator.gif">
          <a:extLst>
            <a:ext uri="{FF2B5EF4-FFF2-40B4-BE49-F238E27FC236}">
              <a16:creationId xmlns:a16="http://schemas.microsoft.com/office/drawing/2014/main" id="{FC0A9F45-7259-4CBA-AF51-8167504CC6D9}"/>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31623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665</xdr:row>
      <xdr:rowOff>0</xdr:rowOff>
    </xdr:from>
    <xdr:ext cx="152400" cy="152400"/>
    <xdr:pic>
      <xdr:nvPicPr>
        <xdr:cNvPr id="719" name="Immagine 718" descr="http://demaco.consob/ArchiflowWeb/images/indicator.gif">
          <a:extLst>
            <a:ext uri="{FF2B5EF4-FFF2-40B4-BE49-F238E27FC236}">
              <a16:creationId xmlns:a16="http://schemas.microsoft.com/office/drawing/2014/main" id="{F8AD0E40-BCCF-4322-AC5A-3BFC1C8D14CE}"/>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31623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665</xdr:row>
      <xdr:rowOff>0</xdr:rowOff>
    </xdr:from>
    <xdr:ext cx="152400" cy="152400"/>
    <xdr:pic>
      <xdr:nvPicPr>
        <xdr:cNvPr id="720" name="Immagine 719" descr="http://demaco.consob/ArchiflowWeb/images/indicator.gif">
          <a:extLst>
            <a:ext uri="{FF2B5EF4-FFF2-40B4-BE49-F238E27FC236}">
              <a16:creationId xmlns:a16="http://schemas.microsoft.com/office/drawing/2014/main" id="{54614DE5-3026-4EF4-B68A-60A05A2668C9}"/>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31623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665</xdr:row>
      <xdr:rowOff>0</xdr:rowOff>
    </xdr:from>
    <xdr:ext cx="152400" cy="152400"/>
    <xdr:pic>
      <xdr:nvPicPr>
        <xdr:cNvPr id="721" name="Immagine 720" descr="http://demaco.consob/ArchiflowWeb/images/indicator.gif">
          <a:extLst>
            <a:ext uri="{FF2B5EF4-FFF2-40B4-BE49-F238E27FC236}">
              <a16:creationId xmlns:a16="http://schemas.microsoft.com/office/drawing/2014/main" id="{3BFAF808-1B36-4BFF-8ACD-09B9F180B7B2}"/>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31623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665</xdr:row>
      <xdr:rowOff>0</xdr:rowOff>
    </xdr:from>
    <xdr:ext cx="152400" cy="152400"/>
    <xdr:pic>
      <xdr:nvPicPr>
        <xdr:cNvPr id="722" name="Immagine 721" descr="http://demaco.consob/ArchiflowWeb/images/indicator.gif">
          <a:extLst>
            <a:ext uri="{FF2B5EF4-FFF2-40B4-BE49-F238E27FC236}">
              <a16:creationId xmlns:a16="http://schemas.microsoft.com/office/drawing/2014/main" id="{4AC37CC4-D31B-4930-9C76-7EC511632096}"/>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31623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665</xdr:row>
      <xdr:rowOff>0</xdr:rowOff>
    </xdr:from>
    <xdr:ext cx="152400" cy="152400"/>
    <xdr:pic>
      <xdr:nvPicPr>
        <xdr:cNvPr id="723" name="Immagine 722" descr="http://demaco.consob/ArchiflowWeb/images/indicator.gif">
          <a:extLst>
            <a:ext uri="{FF2B5EF4-FFF2-40B4-BE49-F238E27FC236}">
              <a16:creationId xmlns:a16="http://schemas.microsoft.com/office/drawing/2014/main" id="{C916001C-B12C-4932-BF15-6C54BA8537C9}"/>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31623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665</xdr:row>
      <xdr:rowOff>0</xdr:rowOff>
    </xdr:from>
    <xdr:ext cx="152400" cy="152400"/>
    <xdr:pic>
      <xdr:nvPicPr>
        <xdr:cNvPr id="724" name="Immagine 723" descr="http://demaco.consob/ArchiflowWeb/images/indicator.gif">
          <a:extLst>
            <a:ext uri="{FF2B5EF4-FFF2-40B4-BE49-F238E27FC236}">
              <a16:creationId xmlns:a16="http://schemas.microsoft.com/office/drawing/2014/main" id="{CDF977F5-9DB3-405D-B53F-F16396F79984}"/>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31623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665</xdr:row>
      <xdr:rowOff>0</xdr:rowOff>
    </xdr:from>
    <xdr:ext cx="152400" cy="152400"/>
    <xdr:pic>
      <xdr:nvPicPr>
        <xdr:cNvPr id="725" name="Immagine 724" descr="http://demaco.consob/ArchiflowWeb/images/indicator.gif">
          <a:extLst>
            <a:ext uri="{FF2B5EF4-FFF2-40B4-BE49-F238E27FC236}">
              <a16:creationId xmlns:a16="http://schemas.microsoft.com/office/drawing/2014/main" id="{165C32CE-5A4D-46A6-B8CF-FE5510C86CC7}"/>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31623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665</xdr:row>
      <xdr:rowOff>0</xdr:rowOff>
    </xdr:from>
    <xdr:ext cx="152400" cy="152400"/>
    <xdr:pic>
      <xdr:nvPicPr>
        <xdr:cNvPr id="726" name="Immagine 725" descr="http://demaco.consob/ArchiflowWeb/images/indicator.gif">
          <a:extLst>
            <a:ext uri="{FF2B5EF4-FFF2-40B4-BE49-F238E27FC236}">
              <a16:creationId xmlns:a16="http://schemas.microsoft.com/office/drawing/2014/main" id="{A47D6CD8-CEED-4363-869A-F550ECE199E9}"/>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31623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665</xdr:row>
      <xdr:rowOff>0</xdr:rowOff>
    </xdr:from>
    <xdr:ext cx="152400" cy="152400"/>
    <xdr:pic>
      <xdr:nvPicPr>
        <xdr:cNvPr id="727" name="Immagine 726" descr="http://demaco.consob/ArchiflowWeb/images/indicator.gif">
          <a:extLst>
            <a:ext uri="{FF2B5EF4-FFF2-40B4-BE49-F238E27FC236}">
              <a16:creationId xmlns:a16="http://schemas.microsoft.com/office/drawing/2014/main" id="{54232EA2-8757-44AE-99CC-EBEFA0FEA0F9}"/>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31623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665</xdr:row>
      <xdr:rowOff>0</xdr:rowOff>
    </xdr:from>
    <xdr:ext cx="152400" cy="152400"/>
    <xdr:pic>
      <xdr:nvPicPr>
        <xdr:cNvPr id="728" name="Immagine 727" descr="http://demaco.consob/ArchiflowWeb/images/indicator.gif">
          <a:extLst>
            <a:ext uri="{FF2B5EF4-FFF2-40B4-BE49-F238E27FC236}">
              <a16:creationId xmlns:a16="http://schemas.microsoft.com/office/drawing/2014/main" id="{57090DE7-7098-4793-AE94-EA050BAEB1C2}"/>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31623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665</xdr:row>
      <xdr:rowOff>0</xdr:rowOff>
    </xdr:from>
    <xdr:ext cx="152400" cy="152400"/>
    <xdr:pic>
      <xdr:nvPicPr>
        <xdr:cNvPr id="729" name="Immagine 728" descr="http://demaco.consob/ArchiflowWeb/images/indicator.gif">
          <a:extLst>
            <a:ext uri="{FF2B5EF4-FFF2-40B4-BE49-F238E27FC236}">
              <a16:creationId xmlns:a16="http://schemas.microsoft.com/office/drawing/2014/main" id="{C4DEE094-D54A-4246-98FC-B6508DB7622D}"/>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31623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665</xdr:row>
      <xdr:rowOff>0</xdr:rowOff>
    </xdr:from>
    <xdr:ext cx="152400" cy="152400"/>
    <xdr:pic>
      <xdr:nvPicPr>
        <xdr:cNvPr id="730" name="Immagine 729" descr="http://demaco.consob/ArchiflowWeb/images/indicator.gif">
          <a:extLst>
            <a:ext uri="{FF2B5EF4-FFF2-40B4-BE49-F238E27FC236}">
              <a16:creationId xmlns:a16="http://schemas.microsoft.com/office/drawing/2014/main" id="{1E706059-6AA7-4BF7-AF27-76F62D19DB34}"/>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31623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665</xdr:row>
      <xdr:rowOff>0</xdr:rowOff>
    </xdr:from>
    <xdr:ext cx="152400" cy="152400"/>
    <xdr:pic>
      <xdr:nvPicPr>
        <xdr:cNvPr id="731" name="Immagine 730" descr="http://demaco.consob/ArchiflowWeb/images/indicator.gif">
          <a:extLst>
            <a:ext uri="{FF2B5EF4-FFF2-40B4-BE49-F238E27FC236}">
              <a16:creationId xmlns:a16="http://schemas.microsoft.com/office/drawing/2014/main" id="{3BFEF1FD-B061-44D0-AADD-952617092127}"/>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31623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665</xdr:row>
      <xdr:rowOff>0</xdr:rowOff>
    </xdr:from>
    <xdr:ext cx="152400" cy="152400"/>
    <xdr:pic>
      <xdr:nvPicPr>
        <xdr:cNvPr id="732" name="Immagine 731" descr="http://demaco.consob/ArchiflowWeb/images/indicator.gif">
          <a:extLst>
            <a:ext uri="{FF2B5EF4-FFF2-40B4-BE49-F238E27FC236}">
              <a16:creationId xmlns:a16="http://schemas.microsoft.com/office/drawing/2014/main" id="{62697DE0-5F3C-4FBF-BAAA-04605FFCF2CD}"/>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31623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665</xdr:row>
      <xdr:rowOff>0</xdr:rowOff>
    </xdr:from>
    <xdr:ext cx="152400" cy="152400"/>
    <xdr:pic>
      <xdr:nvPicPr>
        <xdr:cNvPr id="733" name="Immagine 732" descr="http://demaco.consob/ArchiflowWeb/images/indicator.gif">
          <a:extLst>
            <a:ext uri="{FF2B5EF4-FFF2-40B4-BE49-F238E27FC236}">
              <a16:creationId xmlns:a16="http://schemas.microsoft.com/office/drawing/2014/main" id="{E4107D4F-E399-4FF9-ABA2-C5DAB5CCD024}"/>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31623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665</xdr:row>
      <xdr:rowOff>0</xdr:rowOff>
    </xdr:from>
    <xdr:ext cx="152400" cy="152400"/>
    <xdr:pic>
      <xdr:nvPicPr>
        <xdr:cNvPr id="734" name="Immagine 733" descr="http://demaco.consob/ArchiflowWeb/images/indicator.gif">
          <a:extLst>
            <a:ext uri="{FF2B5EF4-FFF2-40B4-BE49-F238E27FC236}">
              <a16:creationId xmlns:a16="http://schemas.microsoft.com/office/drawing/2014/main" id="{27388445-2DDD-4FA3-B8F9-4BE8847167B8}"/>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31623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665</xdr:row>
      <xdr:rowOff>0</xdr:rowOff>
    </xdr:from>
    <xdr:ext cx="152400" cy="152400"/>
    <xdr:pic>
      <xdr:nvPicPr>
        <xdr:cNvPr id="735" name="Immagine 734" descr="http://demaco.consob/ArchiflowWeb/images/indicator.gif">
          <a:extLst>
            <a:ext uri="{FF2B5EF4-FFF2-40B4-BE49-F238E27FC236}">
              <a16:creationId xmlns:a16="http://schemas.microsoft.com/office/drawing/2014/main" id="{E0EF039B-82D2-4AC0-BABF-3F8412A596C4}"/>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31623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665</xdr:row>
      <xdr:rowOff>0</xdr:rowOff>
    </xdr:from>
    <xdr:ext cx="152400" cy="152400"/>
    <xdr:pic>
      <xdr:nvPicPr>
        <xdr:cNvPr id="736" name="Immagine 735" descr="http://demaco.consob/ArchiflowWeb/images/indicator.gif">
          <a:extLst>
            <a:ext uri="{FF2B5EF4-FFF2-40B4-BE49-F238E27FC236}">
              <a16:creationId xmlns:a16="http://schemas.microsoft.com/office/drawing/2014/main" id="{C2330D4E-EE37-40AA-AF75-215B45870545}"/>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31623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665</xdr:row>
      <xdr:rowOff>0</xdr:rowOff>
    </xdr:from>
    <xdr:ext cx="152400" cy="152400"/>
    <xdr:pic>
      <xdr:nvPicPr>
        <xdr:cNvPr id="737" name="Immagine 736" descr="http://demaco.consob/ArchiflowWeb/images/indicator.gif">
          <a:extLst>
            <a:ext uri="{FF2B5EF4-FFF2-40B4-BE49-F238E27FC236}">
              <a16:creationId xmlns:a16="http://schemas.microsoft.com/office/drawing/2014/main" id="{10083DAB-E958-49D7-BB38-D28D6553DEA5}"/>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31623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665</xdr:row>
      <xdr:rowOff>0</xdr:rowOff>
    </xdr:from>
    <xdr:ext cx="152400" cy="152400"/>
    <xdr:pic>
      <xdr:nvPicPr>
        <xdr:cNvPr id="738" name="Immagine 737" descr="http://demaco.consob/ArchiflowWeb/images/indicator.gif">
          <a:extLst>
            <a:ext uri="{FF2B5EF4-FFF2-40B4-BE49-F238E27FC236}">
              <a16:creationId xmlns:a16="http://schemas.microsoft.com/office/drawing/2014/main" id="{047E4433-0BDF-4E02-8DDB-2DF4E1582B92}"/>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31623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665</xdr:row>
      <xdr:rowOff>0</xdr:rowOff>
    </xdr:from>
    <xdr:ext cx="152400" cy="152400"/>
    <xdr:pic>
      <xdr:nvPicPr>
        <xdr:cNvPr id="739" name="Immagine 738" descr="http://demaco.consob/ArchiflowWeb/images/indicator.gif">
          <a:extLst>
            <a:ext uri="{FF2B5EF4-FFF2-40B4-BE49-F238E27FC236}">
              <a16:creationId xmlns:a16="http://schemas.microsoft.com/office/drawing/2014/main" id="{863E3C9B-7525-457D-8A07-89EAD351FDF2}"/>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31623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665</xdr:row>
      <xdr:rowOff>0</xdr:rowOff>
    </xdr:from>
    <xdr:ext cx="152400" cy="152400"/>
    <xdr:pic>
      <xdr:nvPicPr>
        <xdr:cNvPr id="740" name="Immagine 739" descr="http://demaco.consob/ArchiflowWeb/images/indicator.gif">
          <a:extLst>
            <a:ext uri="{FF2B5EF4-FFF2-40B4-BE49-F238E27FC236}">
              <a16:creationId xmlns:a16="http://schemas.microsoft.com/office/drawing/2014/main" id="{E310E5B8-C6BC-4816-B60C-D50BEE50F339}"/>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31623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665</xdr:row>
      <xdr:rowOff>0</xdr:rowOff>
    </xdr:from>
    <xdr:ext cx="152400" cy="152400"/>
    <xdr:pic>
      <xdr:nvPicPr>
        <xdr:cNvPr id="741" name="Immagine 740" descr="http://demaco.consob/ArchiflowWeb/images/indicator.gif">
          <a:extLst>
            <a:ext uri="{FF2B5EF4-FFF2-40B4-BE49-F238E27FC236}">
              <a16:creationId xmlns:a16="http://schemas.microsoft.com/office/drawing/2014/main" id="{B0D349FC-06ED-467A-8920-D83C8D4A88EF}"/>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31623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665</xdr:row>
      <xdr:rowOff>0</xdr:rowOff>
    </xdr:from>
    <xdr:ext cx="152400" cy="152400"/>
    <xdr:pic>
      <xdr:nvPicPr>
        <xdr:cNvPr id="742" name="Immagine 741" descr="http://demaco.consob/ArchiflowWeb/images/indicator.gif">
          <a:extLst>
            <a:ext uri="{FF2B5EF4-FFF2-40B4-BE49-F238E27FC236}">
              <a16:creationId xmlns:a16="http://schemas.microsoft.com/office/drawing/2014/main" id="{8CC3F9D0-AFBD-4EA2-8AC8-E7D66F13DD87}"/>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31623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665</xdr:row>
      <xdr:rowOff>0</xdr:rowOff>
    </xdr:from>
    <xdr:ext cx="152400" cy="152400"/>
    <xdr:pic>
      <xdr:nvPicPr>
        <xdr:cNvPr id="743" name="Immagine 742" descr="http://demaco.consob/ArchiflowWeb/images/indicator.gif">
          <a:extLst>
            <a:ext uri="{FF2B5EF4-FFF2-40B4-BE49-F238E27FC236}">
              <a16:creationId xmlns:a16="http://schemas.microsoft.com/office/drawing/2014/main" id="{9C89CF6B-ADF6-4FBA-A822-F2B59CB2E3A4}"/>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31623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665</xdr:row>
      <xdr:rowOff>0</xdr:rowOff>
    </xdr:from>
    <xdr:ext cx="152400" cy="152400"/>
    <xdr:pic>
      <xdr:nvPicPr>
        <xdr:cNvPr id="744" name="Immagine 743" descr="http://demaco.consob/ArchiflowWeb/images/indicator.gif">
          <a:extLst>
            <a:ext uri="{FF2B5EF4-FFF2-40B4-BE49-F238E27FC236}">
              <a16:creationId xmlns:a16="http://schemas.microsoft.com/office/drawing/2014/main" id="{92E988B8-EF72-498A-846A-517B0CD5997A}"/>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31623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665</xdr:row>
      <xdr:rowOff>0</xdr:rowOff>
    </xdr:from>
    <xdr:ext cx="152400" cy="152400"/>
    <xdr:pic>
      <xdr:nvPicPr>
        <xdr:cNvPr id="745" name="Immagine 744" descr="http://demaco.consob/ArchiflowWeb/images/indicator.gif">
          <a:extLst>
            <a:ext uri="{FF2B5EF4-FFF2-40B4-BE49-F238E27FC236}">
              <a16:creationId xmlns:a16="http://schemas.microsoft.com/office/drawing/2014/main" id="{7937949A-A209-4AD8-84A7-07039475700E}"/>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31623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665</xdr:row>
      <xdr:rowOff>0</xdr:rowOff>
    </xdr:from>
    <xdr:ext cx="152400" cy="152400"/>
    <xdr:pic>
      <xdr:nvPicPr>
        <xdr:cNvPr id="746" name="Immagine 745" descr="http://demaco.consob/ArchiflowWeb/images/indicator.gif">
          <a:extLst>
            <a:ext uri="{FF2B5EF4-FFF2-40B4-BE49-F238E27FC236}">
              <a16:creationId xmlns:a16="http://schemas.microsoft.com/office/drawing/2014/main" id="{90E625CB-E2B9-4A45-8A63-AF27CE0DFF8E}"/>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31623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665</xdr:row>
      <xdr:rowOff>0</xdr:rowOff>
    </xdr:from>
    <xdr:ext cx="152400" cy="152400"/>
    <xdr:pic>
      <xdr:nvPicPr>
        <xdr:cNvPr id="747" name="Immagine 746" descr="http://demaco.consob/ArchiflowWeb/images/indicator.gif">
          <a:extLst>
            <a:ext uri="{FF2B5EF4-FFF2-40B4-BE49-F238E27FC236}">
              <a16:creationId xmlns:a16="http://schemas.microsoft.com/office/drawing/2014/main" id="{12D9AF2A-F327-49AE-90B1-EC6284913B38}"/>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31623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665</xdr:row>
      <xdr:rowOff>0</xdr:rowOff>
    </xdr:from>
    <xdr:ext cx="152400" cy="152400"/>
    <xdr:pic>
      <xdr:nvPicPr>
        <xdr:cNvPr id="748" name="Immagine 747" descr="http://demaco.consob/ArchiflowWeb/images/indicator.gif">
          <a:extLst>
            <a:ext uri="{FF2B5EF4-FFF2-40B4-BE49-F238E27FC236}">
              <a16:creationId xmlns:a16="http://schemas.microsoft.com/office/drawing/2014/main" id="{BC808C49-C113-472A-BADC-58189846A4FF}"/>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31623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665</xdr:row>
      <xdr:rowOff>0</xdr:rowOff>
    </xdr:from>
    <xdr:ext cx="152400" cy="152400"/>
    <xdr:pic>
      <xdr:nvPicPr>
        <xdr:cNvPr id="749" name="Immagine 748" descr="http://demaco.consob/ArchiflowWeb/images/indicator.gif">
          <a:extLst>
            <a:ext uri="{FF2B5EF4-FFF2-40B4-BE49-F238E27FC236}">
              <a16:creationId xmlns:a16="http://schemas.microsoft.com/office/drawing/2014/main" id="{AE6F600F-9576-4EE7-A8D3-447FB4CAD7CC}"/>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31623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665</xdr:row>
      <xdr:rowOff>0</xdr:rowOff>
    </xdr:from>
    <xdr:ext cx="152400" cy="152400"/>
    <xdr:pic>
      <xdr:nvPicPr>
        <xdr:cNvPr id="750" name="Immagine 749" descr="http://demaco.consob/ArchiflowWeb/images/indicator.gif">
          <a:extLst>
            <a:ext uri="{FF2B5EF4-FFF2-40B4-BE49-F238E27FC236}">
              <a16:creationId xmlns:a16="http://schemas.microsoft.com/office/drawing/2014/main" id="{22905D19-AE7B-444F-8C53-59042AA1AFE6}"/>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31623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665</xdr:row>
      <xdr:rowOff>0</xdr:rowOff>
    </xdr:from>
    <xdr:ext cx="152400" cy="152400"/>
    <xdr:pic>
      <xdr:nvPicPr>
        <xdr:cNvPr id="751" name="Immagine 750" descr="http://demaco.consob/ArchiflowWeb/images/indicator.gif">
          <a:extLst>
            <a:ext uri="{FF2B5EF4-FFF2-40B4-BE49-F238E27FC236}">
              <a16:creationId xmlns:a16="http://schemas.microsoft.com/office/drawing/2014/main" id="{69369DC1-2DF5-42CD-A94E-261E42BE0BDF}"/>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31623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665</xdr:row>
      <xdr:rowOff>0</xdr:rowOff>
    </xdr:from>
    <xdr:ext cx="152400" cy="152400"/>
    <xdr:pic>
      <xdr:nvPicPr>
        <xdr:cNvPr id="752" name="Immagine 751" descr="http://demaco.consob/ArchiflowWeb/images/indicator.gif">
          <a:extLst>
            <a:ext uri="{FF2B5EF4-FFF2-40B4-BE49-F238E27FC236}">
              <a16:creationId xmlns:a16="http://schemas.microsoft.com/office/drawing/2014/main" id="{FECB5351-3630-45D8-BC97-420DBFB15307}"/>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31623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665</xdr:row>
      <xdr:rowOff>0</xdr:rowOff>
    </xdr:from>
    <xdr:ext cx="152400" cy="152400"/>
    <xdr:pic>
      <xdr:nvPicPr>
        <xdr:cNvPr id="753" name="Immagine 752" descr="http://demaco.consob/ArchiflowWeb/images/indicator.gif">
          <a:extLst>
            <a:ext uri="{FF2B5EF4-FFF2-40B4-BE49-F238E27FC236}">
              <a16:creationId xmlns:a16="http://schemas.microsoft.com/office/drawing/2014/main" id="{9884ED66-02C3-423D-9674-344A7D600162}"/>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31623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665</xdr:row>
      <xdr:rowOff>0</xdr:rowOff>
    </xdr:from>
    <xdr:ext cx="152400" cy="152400"/>
    <xdr:pic>
      <xdr:nvPicPr>
        <xdr:cNvPr id="754" name="Immagine 753" descr="http://demaco.consob/ArchiflowWeb/images/indicator.gif">
          <a:extLst>
            <a:ext uri="{FF2B5EF4-FFF2-40B4-BE49-F238E27FC236}">
              <a16:creationId xmlns:a16="http://schemas.microsoft.com/office/drawing/2014/main" id="{90637770-5BFD-4C6A-A7DA-39E1D11C580E}"/>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31623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665</xdr:row>
      <xdr:rowOff>0</xdr:rowOff>
    </xdr:from>
    <xdr:ext cx="152400" cy="152400"/>
    <xdr:pic>
      <xdr:nvPicPr>
        <xdr:cNvPr id="755" name="Immagine 754" descr="http://demaco.consob/ArchiflowWeb/images/indicator.gif">
          <a:extLst>
            <a:ext uri="{FF2B5EF4-FFF2-40B4-BE49-F238E27FC236}">
              <a16:creationId xmlns:a16="http://schemas.microsoft.com/office/drawing/2014/main" id="{6B9A1011-CEC0-4AF0-B605-329DED45F729}"/>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31623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665</xdr:row>
      <xdr:rowOff>0</xdr:rowOff>
    </xdr:from>
    <xdr:ext cx="152400" cy="152400"/>
    <xdr:pic>
      <xdr:nvPicPr>
        <xdr:cNvPr id="756" name="Immagine 755" descr="http://demaco.consob/ArchiflowWeb/images/indicator.gif">
          <a:extLst>
            <a:ext uri="{FF2B5EF4-FFF2-40B4-BE49-F238E27FC236}">
              <a16:creationId xmlns:a16="http://schemas.microsoft.com/office/drawing/2014/main" id="{59845038-1EEE-43BA-8A52-EC6B3030D3B8}"/>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31623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665</xdr:row>
      <xdr:rowOff>0</xdr:rowOff>
    </xdr:from>
    <xdr:ext cx="152400" cy="152400"/>
    <xdr:pic>
      <xdr:nvPicPr>
        <xdr:cNvPr id="757" name="Immagine 756" descr="http://demaco.consob/ArchiflowWeb/images/indicator.gif">
          <a:extLst>
            <a:ext uri="{FF2B5EF4-FFF2-40B4-BE49-F238E27FC236}">
              <a16:creationId xmlns:a16="http://schemas.microsoft.com/office/drawing/2014/main" id="{8920F7EA-7704-4F36-889A-52D49138A3C4}"/>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31623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665</xdr:row>
      <xdr:rowOff>0</xdr:rowOff>
    </xdr:from>
    <xdr:ext cx="152400" cy="152400"/>
    <xdr:pic>
      <xdr:nvPicPr>
        <xdr:cNvPr id="758" name="Immagine 757" descr="http://demaco.consob/ArchiflowWeb/images/indicator.gif">
          <a:extLst>
            <a:ext uri="{FF2B5EF4-FFF2-40B4-BE49-F238E27FC236}">
              <a16:creationId xmlns:a16="http://schemas.microsoft.com/office/drawing/2014/main" id="{33947719-184D-4DAE-95C1-D2F6EAEAAA41}"/>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31623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665</xdr:row>
      <xdr:rowOff>0</xdr:rowOff>
    </xdr:from>
    <xdr:ext cx="152400" cy="152400"/>
    <xdr:pic>
      <xdr:nvPicPr>
        <xdr:cNvPr id="759" name="Immagine 758" descr="http://demaco.consob/ArchiflowWeb/images/indicator.gif">
          <a:extLst>
            <a:ext uri="{FF2B5EF4-FFF2-40B4-BE49-F238E27FC236}">
              <a16:creationId xmlns:a16="http://schemas.microsoft.com/office/drawing/2014/main" id="{E1A8350D-3046-4990-AB9D-D412F989BDEA}"/>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31623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665</xdr:row>
      <xdr:rowOff>0</xdr:rowOff>
    </xdr:from>
    <xdr:ext cx="152400" cy="152400"/>
    <xdr:pic>
      <xdr:nvPicPr>
        <xdr:cNvPr id="760" name="Immagine 759" descr="http://demaco.consob/ArchiflowWeb/images/indicator.gif">
          <a:extLst>
            <a:ext uri="{FF2B5EF4-FFF2-40B4-BE49-F238E27FC236}">
              <a16:creationId xmlns:a16="http://schemas.microsoft.com/office/drawing/2014/main" id="{20343CE7-79BF-4912-BC7A-5C0E4A6811D5}"/>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31623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665</xdr:row>
      <xdr:rowOff>0</xdr:rowOff>
    </xdr:from>
    <xdr:ext cx="152400" cy="152400"/>
    <xdr:pic>
      <xdr:nvPicPr>
        <xdr:cNvPr id="761" name="Immagine 760" descr="http://demaco.consob/ArchiflowWeb/images/indicator.gif">
          <a:extLst>
            <a:ext uri="{FF2B5EF4-FFF2-40B4-BE49-F238E27FC236}">
              <a16:creationId xmlns:a16="http://schemas.microsoft.com/office/drawing/2014/main" id="{BC8DD0C9-74CE-4B26-8102-E09A2CD7F1FD}"/>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31623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665</xdr:row>
      <xdr:rowOff>0</xdr:rowOff>
    </xdr:from>
    <xdr:ext cx="152400" cy="152400"/>
    <xdr:pic>
      <xdr:nvPicPr>
        <xdr:cNvPr id="762" name="Immagine 761" descr="http://demaco.consob/ArchiflowWeb/images/indicator.gif">
          <a:extLst>
            <a:ext uri="{FF2B5EF4-FFF2-40B4-BE49-F238E27FC236}">
              <a16:creationId xmlns:a16="http://schemas.microsoft.com/office/drawing/2014/main" id="{BA6F3B92-2BB5-40EA-A167-7A1F3D51425E}"/>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31623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665</xdr:row>
      <xdr:rowOff>0</xdr:rowOff>
    </xdr:from>
    <xdr:ext cx="152400" cy="152400"/>
    <xdr:pic>
      <xdr:nvPicPr>
        <xdr:cNvPr id="763" name="Immagine 762" descr="http://demaco.consob/ArchiflowWeb/images/indicator.gif">
          <a:extLst>
            <a:ext uri="{FF2B5EF4-FFF2-40B4-BE49-F238E27FC236}">
              <a16:creationId xmlns:a16="http://schemas.microsoft.com/office/drawing/2014/main" id="{6D74485B-DE6D-45D4-8FBD-04FFE839329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31623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665</xdr:row>
      <xdr:rowOff>0</xdr:rowOff>
    </xdr:from>
    <xdr:ext cx="152400" cy="152400"/>
    <xdr:pic>
      <xdr:nvPicPr>
        <xdr:cNvPr id="764" name="Immagine 763" descr="http://demaco.consob/ArchiflowWeb/images/indicator.gif">
          <a:extLst>
            <a:ext uri="{FF2B5EF4-FFF2-40B4-BE49-F238E27FC236}">
              <a16:creationId xmlns:a16="http://schemas.microsoft.com/office/drawing/2014/main" id="{AD5CBCA2-0B97-4084-9D23-7E2F2873F2BB}"/>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31623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665</xdr:row>
      <xdr:rowOff>0</xdr:rowOff>
    </xdr:from>
    <xdr:ext cx="152400" cy="152400"/>
    <xdr:pic>
      <xdr:nvPicPr>
        <xdr:cNvPr id="765" name="Immagine 764" descr="http://demaco.consob/ArchiflowWeb/images/indicator.gif">
          <a:extLst>
            <a:ext uri="{FF2B5EF4-FFF2-40B4-BE49-F238E27FC236}">
              <a16:creationId xmlns:a16="http://schemas.microsoft.com/office/drawing/2014/main" id="{037B688A-C939-4B76-B6FC-95F5302D491B}"/>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31623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665</xdr:row>
      <xdr:rowOff>0</xdr:rowOff>
    </xdr:from>
    <xdr:ext cx="152400" cy="152400"/>
    <xdr:pic>
      <xdr:nvPicPr>
        <xdr:cNvPr id="766" name="Immagine 765" descr="http://demaco.consob/ArchiflowWeb/images/indicator.gif">
          <a:extLst>
            <a:ext uri="{FF2B5EF4-FFF2-40B4-BE49-F238E27FC236}">
              <a16:creationId xmlns:a16="http://schemas.microsoft.com/office/drawing/2014/main" id="{423A1980-FDAC-4507-8191-37094A5DBBDF}"/>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31623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665</xdr:row>
      <xdr:rowOff>0</xdr:rowOff>
    </xdr:from>
    <xdr:ext cx="152400" cy="152400"/>
    <xdr:pic>
      <xdr:nvPicPr>
        <xdr:cNvPr id="767" name="Immagine 766" descr="http://demaco.consob/ArchiflowWeb/images/indicator.gif">
          <a:extLst>
            <a:ext uri="{FF2B5EF4-FFF2-40B4-BE49-F238E27FC236}">
              <a16:creationId xmlns:a16="http://schemas.microsoft.com/office/drawing/2014/main" id="{2F0F55D4-F25F-4AEF-8354-6D8F8B5030AB}"/>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31623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665</xdr:row>
      <xdr:rowOff>0</xdr:rowOff>
    </xdr:from>
    <xdr:ext cx="152400" cy="152400"/>
    <xdr:pic>
      <xdr:nvPicPr>
        <xdr:cNvPr id="768" name="Immagine 767" descr="http://demaco.consob/ArchiflowWeb/images/indicator.gif">
          <a:extLst>
            <a:ext uri="{FF2B5EF4-FFF2-40B4-BE49-F238E27FC236}">
              <a16:creationId xmlns:a16="http://schemas.microsoft.com/office/drawing/2014/main" id="{63B2C472-150D-495A-AB05-FAE50F4B4338}"/>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31623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665</xdr:row>
      <xdr:rowOff>0</xdr:rowOff>
    </xdr:from>
    <xdr:ext cx="152400" cy="152400"/>
    <xdr:pic>
      <xdr:nvPicPr>
        <xdr:cNvPr id="769" name="Immagine 768" descr="http://demaco.consob/ArchiflowWeb/images/indicator.gif">
          <a:extLst>
            <a:ext uri="{FF2B5EF4-FFF2-40B4-BE49-F238E27FC236}">
              <a16:creationId xmlns:a16="http://schemas.microsoft.com/office/drawing/2014/main" id="{1F66F9D3-9D54-4708-BC80-F4519B79B61B}"/>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31623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665</xdr:row>
      <xdr:rowOff>0</xdr:rowOff>
    </xdr:from>
    <xdr:ext cx="152400" cy="152400"/>
    <xdr:pic>
      <xdr:nvPicPr>
        <xdr:cNvPr id="770" name="Immagine 769" descr="http://demaco.consob/ArchiflowWeb/images/indicator.gif">
          <a:extLst>
            <a:ext uri="{FF2B5EF4-FFF2-40B4-BE49-F238E27FC236}">
              <a16:creationId xmlns:a16="http://schemas.microsoft.com/office/drawing/2014/main" id="{85F95D6C-199E-46CE-9C4C-065E19E498F8}"/>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31623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665</xdr:row>
      <xdr:rowOff>0</xdr:rowOff>
    </xdr:from>
    <xdr:ext cx="152400" cy="152400"/>
    <xdr:pic>
      <xdr:nvPicPr>
        <xdr:cNvPr id="771" name="Immagine 770" descr="http://demaco.consob/ArchiflowWeb/images/indicator.gif">
          <a:extLst>
            <a:ext uri="{FF2B5EF4-FFF2-40B4-BE49-F238E27FC236}">
              <a16:creationId xmlns:a16="http://schemas.microsoft.com/office/drawing/2014/main" id="{0D215015-142F-4C38-BD0D-64231A95ADB8}"/>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31623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665</xdr:row>
      <xdr:rowOff>0</xdr:rowOff>
    </xdr:from>
    <xdr:ext cx="152400" cy="152400"/>
    <xdr:pic>
      <xdr:nvPicPr>
        <xdr:cNvPr id="772" name="Immagine 771" descr="http://demaco.consob/ArchiflowWeb/images/indicator.gif">
          <a:extLst>
            <a:ext uri="{FF2B5EF4-FFF2-40B4-BE49-F238E27FC236}">
              <a16:creationId xmlns:a16="http://schemas.microsoft.com/office/drawing/2014/main" id="{761C4929-5D06-4844-91AC-F2B20146719C}"/>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31623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665</xdr:row>
      <xdr:rowOff>0</xdr:rowOff>
    </xdr:from>
    <xdr:ext cx="152400" cy="152400"/>
    <xdr:pic>
      <xdr:nvPicPr>
        <xdr:cNvPr id="773" name="Immagine 772" descr="http://demaco.consob/ArchiflowWeb/images/indicator.gif">
          <a:extLst>
            <a:ext uri="{FF2B5EF4-FFF2-40B4-BE49-F238E27FC236}">
              <a16:creationId xmlns:a16="http://schemas.microsoft.com/office/drawing/2014/main" id="{B3AC9C95-9E2F-4AB7-8303-BC2F86FEA7B2}"/>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31623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665</xdr:row>
      <xdr:rowOff>0</xdr:rowOff>
    </xdr:from>
    <xdr:ext cx="152400" cy="152400"/>
    <xdr:pic>
      <xdr:nvPicPr>
        <xdr:cNvPr id="774" name="Immagine 773" descr="http://demaco.consob/ArchiflowWeb/images/indicator.gif">
          <a:extLst>
            <a:ext uri="{FF2B5EF4-FFF2-40B4-BE49-F238E27FC236}">
              <a16:creationId xmlns:a16="http://schemas.microsoft.com/office/drawing/2014/main" id="{85EC8433-97A9-45F8-BD86-F772F4D85318}"/>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31623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665</xdr:row>
      <xdr:rowOff>0</xdr:rowOff>
    </xdr:from>
    <xdr:ext cx="152400" cy="152400"/>
    <xdr:pic>
      <xdr:nvPicPr>
        <xdr:cNvPr id="775" name="Immagine 774" descr="http://demaco.consob/ArchiflowWeb/images/indicator.gif">
          <a:extLst>
            <a:ext uri="{FF2B5EF4-FFF2-40B4-BE49-F238E27FC236}">
              <a16:creationId xmlns:a16="http://schemas.microsoft.com/office/drawing/2014/main" id="{5CB00C23-E359-41C0-B8F8-C0F7C0FB8BE5}"/>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31623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665</xdr:row>
      <xdr:rowOff>0</xdr:rowOff>
    </xdr:from>
    <xdr:ext cx="152400" cy="152400"/>
    <xdr:pic>
      <xdr:nvPicPr>
        <xdr:cNvPr id="776" name="Immagine 775" descr="http://demaco.consob/ArchiflowWeb/images/indicator.gif">
          <a:extLst>
            <a:ext uri="{FF2B5EF4-FFF2-40B4-BE49-F238E27FC236}">
              <a16:creationId xmlns:a16="http://schemas.microsoft.com/office/drawing/2014/main" id="{EDC65376-8939-4F39-B4B0-71C4C5B40027}"/>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31623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665</xdr:row>
      <xdr:rowOff>0</xdr:rowOff>
    </xdr:from>
    <xdr:ext cx="152400" cy="152400"/>
    <xdr:pic>
      <xdr:nvPicPr>
        <xdr:cNvPr id="777" name="Immagine 776" descr="http://demaco.consob/ArchiflowWeb/images/indicator.gif">
          <a:extLst>
            <a:ext uri="{FF2B5EF4-FFF2-40B4-BE49-F238E27FC236}">
              <a16:creationId xmlns:a16="http://schemas.microsoft.com/office/drawing/2014/main" id="{DEC89AEA-F3AB-4098-95B0-148861186FCC}"/>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31623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665</xdr:row>
      <xdr:rowOff>0</xdr:rowOff>
    </xdr:from>
    <xdr:ext cx="152400" cy="152400"/>
    <xdr:pic>
      <xdr:nvPicPr>
        <xdr:cNvPr id="778" name="Immagine 777" descr="http://demaco.consob/ArchiflowWeb/images/indicator.gif">
          <a:extLst>
            <a:ext uri="{FF2B5EF4-FFF2-40B4-BE49-F238E27FC236}">
              <a16:creationId xmlns:a16="http://schemas.microsoft.com/office/drawing/2014/main" id="{DAD37298-293E-441C-A461-B6C02F058805}"/>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31623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665</xdr:row>
      <xdr:rowOff>0</xdr:rowOff>
    </xdr:from>
    <xdr:ext cx="152400" cy="152400"/>
    <xdr:pic>
      <xdr:nvPicPr>
        <xdr:cNvPr id="779" name="Immagine 778" descr="http://demaco.consob/ArchiflowWeb/images/indicator.gif">
          <a:extLst>
            <a:ext uri="{FF2B5EF4-FFF2-40B4-BE49-F238E27FC236}">
              <a16:creationId xmlns:a16="http://schemas.microsoft.com/office/drawing/2014/main" id="{C1B689F4-E3F0-4FF9-8A96-C541A565D819}"/>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31623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665</xdr:row>
      <xdr:rowOff>0</xdr:rowOff>
    </xdr:from>
    <xdr:ext cx="152400" cy="152400"/>
    <xdr:pic>
      <xdr:nvPicPr>
        <xdr:cNvPr id="780" name="Immagine 779" descr="http://demaco.consob/ArchiflowWeb/images/indicator.gif">
          <a:extLst>
            <a:ext uri="{FF2B5EF4-FFF2-40B4-BE49-F238E27FC236}">
              <a16:creationId xmlns:a16="http://schemas.microsoft.com/office/drawing/2014/main" id="{7B8DD861-DEDB-416C-9305-50119486459C}"/>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31623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665</xdr:row>
      <xdr:rowOff>0</xdr:rowOff>
    </xdr:from>
    <xdr:ext cx="152400" cy="152400"/>
    <xdr:pic>
      <xdr:nvPicPr>
        <xdr:cNvPr id="781" name="Immagine 780" descr="http://demaco.consob/ArchiflowWeb/images/indicator.gif">
          <a:extLst>
            <a:ext uri="{FF2B5EF4-FFF2-40B4-BE49-F238E27FC236}">
              <a16:creationId xmlns:a16="http://schemas.microsoft.com/office/drawing/2014/main" id="{D269633D-A053-4696-9CEF-D0E2952D9CF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31623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665</xdr:row>
      <xdr:rowOff>0</xdr:rowOff>
    </xdr:from>
    <xdr:ext cx="152400" cy="152400"/>
    <xdr:pic>
      <xdr:nvPicPr>
        <xdr:cNvPr id="782" name="Immagine 781" descr="http://demaco.consob/ArchiflowWeb/images/indicator.gif">
          <a:extLst>
            <a:ext uri="{FF2B5EF4-FFF2-40B4-BE49-F238E27FC236}">
              <a16:creationId xmlns:a16="http://schemas.microsoft.com/office/drawing/2014/main" id="{3A7BE62A-DE38-4D10-B68B-754DBD8C779E}"/>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31623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665</xdr:row>
      <xdr:rowOff>0</xdr:rowOff>
    </xdr:from>
    <xdr:ext cx="152400" cy="152400"/>
    <xdr:pic>
      <xdr:nvPicPr>
        <xdr:cNvPr id="783" name="Immagine 782" descr="http://demaco.consob/ArchiflowWeb/images/indicator.gif">
          <a:extLst>
            <a:ext uri="{FF2B5EF4-FFF2-40B4-BE49-F238E27FC236}">
              <a16:creationId xmlns:a16="http://schemas.microsoft.com/office/drawing/2014/main" id="{2D318246-1359-49BD-921B-2D9D318B26F5}"/>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31623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665</xdr:row>
      <xdr:rowOff>0</xdr:rowOff>
    </xdr:from>
    <xdr:ext cx="152400" cy="152400"/>
    <xdr:pic>
      <xdr:nvPicPr>
        <xdr:cNvPr id="784" name="Immagine 783" descr="http://demaco.consob/ArchiflowWeb/images/indicator.gif">
          <a:extLst>
            <a:ext uri="{FF2B5EF4-FFF2-40B4-BE49-F238E27FC236}">
              <a16:creationId xmlns:a16="http://schemas.microsoft.com/office/drawing/2014/main" id="{F072BF54-1011-4344-A45F-14CE85D63919}"/>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31623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665</xdr:row>
      <xdr:rowOff>0</xdr:rowOff>
    </xdr:from>
    <xdr:ext cx="152400" cy="152400"/>
    <xdr:pic>
      <xdr:nvPicPr>
        <xdr:cNvPr id="785" name="Immagine 784" descr="http://demaco.consob/ArchiflowWeb/images/indicator.gif">
          <a:extLst>
            <a:ext uri="{FF2B5EF4-FFF2-40B4-BE49-F238E27FC236}">
              <a16:creationId xmlns:a16="http://schemas.microsoft.com/office/drawing/2014/main" id="{812BE86A-70F4-45AB-9321-F3C4646391AF}"/>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31623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665</xdr:row>
      <xdr:rowOff>0</xdr:rowOff>
    </xdr:from>
    <xdr:ext cx="152400" cy="152400"/>
    <xdr:pic>
      <xdr:nvPicPr>
        <xdr:cNvPr id="786" name="Immagine 785" descr="http://demaco.consob/ArchiflowWeb/images/indicator.gif">
          <a:extLst>
            <a:ext uri="{FF2B5EF4-FFF2-40B4-BE49-F238E27FC236}">
              <a16:creationId xmlns:a16="http://schemas.microsoft.com/office/drawing/2014/main" id="{55CE157D-1912-491F-8ADB-C997140F15BA}"/>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31623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665</xdr:row>
      <xdr:rowOff>0</xdr:rowOff>
    </xdr:from>
    <xdr:ext cx="152400" cy="152400"/>
    <xdr:pic>
      <xdr:nvPicPr>
        <xdr:cNvPr id="787" name="Immagine 786" descr="http://demaco.consob/ArchiflowWeb/images/indicator.gif">
          <a:extLst>
            <a:ext uri="{FF2B5EF4-FFF2-40B4-BE49-F238E27FC236}">
              <a16:creationId xmlns:a16="http://schemas.microsoft.com/office/drawing/2014/main" id="{8F8168D9-41D7-4533-BF8A-A53040DE77C5}"/>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31623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665</xdr:row>
      <xdr:rowOff>0</xdr:rowOff>
    </xdr:from>
    <xdr:ext cx="152400" cy="152400"/>
    <xdr:pic>
      <xdr:nvPicPr>
        <xdr:cNvPr id="788" name="Immagine 787" descr="http://demaco.consob/ArchiflowWeb/images/indicator.gif">
          <a:extLst>
            <a:ext uri="{FF2B5EF4-FFF2-40B4-BE49-F238E27FC236}">
              <a16:creationId xmlns:a16="http://schemas.microsoft.com/office/drawing/2014/main" id="{9FEA8E83-F9C8-4DF7-80CB-B63FF990F2A4}"/>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31623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665</xdr:row>
      <xdr:rowOff>0</xdr:rowOff>
    </xdr:from>
    <xdr:ext cx="152400" cy="152400"/>
    <xdr:pic>
      <xdr:nvPicPr>
        <xdr:cNvPr id="789" name="Immagine 788" descr="http://demaco.consob/ArchiflowWeb/images/indicator.gif">
          <a:extLst>
            <a:ext uri="{FF2B5EF4-FFF2-40B4-BE49-F238E27FC236}">
              <a16:creationId xmlns:a16="http://schemas.microsoft.com/office/drawing/2014/main" id="{5C78BF1B-DAEF-4A1C-ABC0-04F35D477E55}"/>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31623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665</xdr:row>
      <xdr:rowOff>0</xdr:rowOff>
    </xdr:from>
    <xdr:ext cx="152400" cy="152400"/>
    <xdr:pic>
      <xdr:nvPicPr>
        <xdr:cNvPr id="790" name="Immagine 789" descr="http://demaco.consob/ArchiflowWeb/images/indicator.gif">
          <a:extLst>
            <a:ext uri="{FF2B5EF4-FFF2-40B4-BE49-F238E27FC236}">
              <a16:creationId xmlns:a16="http://schemas.microsoft.com/office/drawing/2014/main" id="{AC7ABDC3-E4E4-4BB2-8B62-77A61DC844B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31623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665</xdr:row>
      <xdr:rowOff>0</xdr:rowOff>
    </xdr:from>
    <xdr:ext cx="152400" cy="152400"/>
    <xdr:pic>
      <xdr:nvPicPr>
        <xdr:cNvPr id="791" name="Immagine 790" descr="http://demaco.consob/ArchiflowWeb/images/indicator.gif">
          <a:extLst>
            <a:ext uri="{FF2B5EF4-FFF2-40B4-BE49-F238E27FC236}">
              <a16:creationId xmlns:a16="http://schemas.microsoft.com/office/drawing/2014/main" id="{A2C8E61D-7F0C-411D-AE82-AEC6585222A4}"/>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31623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665</xdr:row>
      <xdr:rowOff>0</xdr:rowOff>
    </xdr:from>
    <xdr:ext cx="152400" cy="152400"/>
    <xdr:pic>
      <xdr:nvPicPr>
        <xdr:cNvPr id="792" name="Immagine 791" descr="http://demaco.consob/ArchiflowWeb/images/indicator.gif">
          <a:extLst>
            <a:ext uri="{FF2B5EF4-FFF2-40B4-BE49-F238E27FC236}">
              <a16:creationId xmlns:a16="http://schemas.microsoft.com/office/drawing/2014/main" id="{431A0659-FA45-4068-B821-E2BA21EFAC45}"/>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31623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665</xdr:row>
      <xdr:rowOff>0</xdr:rowOff>
    </xdr:from>
    <xdr:ext cx="152400" cy="152400"/>
    <xdr:pic>
      <xdr:nvPicPr>
        <xdr:cNvPr id="793" name="Immagine 792" descr="http://demaco.consob/ArchiflowWeb/images/indicator.gif">
          <a:extLst>
            <a:ext uri="{FF2B5EF4-FFF2-40B4-BE49-F238E27FC236}">
              <a16:creationId xmlns:a16="http://schemas.microsoft.com/office/drawing/2014/main" id="{29C20E02-64C8-463C-985C-B8503EDC5961}"/>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31623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665</xdr:row>
      <xdr:rowOff>0</xdr:rowOff>
    </xdr:from>
    <xdr:ext cx="152400" cy="152400"/>
    <xdr:pic>
      <xdr:nvPicPr>
        <xdr:cNvPr id="794" name="Immagine 793" descr="http://demaco.consob/ArchiflowWeb/images/indicator.gif">
          <a:extLst>
            <a:ext uri="{FF2B5EF4-FFF2-40B4-BE49-F238E27FC236}">
              <a16:creationId xmlns:a16="http://schemas.microsoft.com/office/drawing/2014/main" id="{CD32E820-E9C2-414E-A63F-0E0B5066A67F}"/>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31623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665</xdr:row>
      <xdr:rowOff>0</xdr:rowOff>
    </xdr:from>
    <xdr:ext cx="152400" cy="152400"/>
    <xdr:pic>
      <xdr:nvPicPr>
        <xdr:cNvPr id="795" name="Immagine 794" descr="http://demaco.consob/ArchiflowWeb/images/indicator.gif">
          <a:extLst>
            <a:ext uri="{FF2B5EF4-FFF2-40B4-BE49-F238E27FC236}">
              <a16:creationId xmlns:a16="http://schemas.microsoft.com/office/drawing/2014/main" id="{4FB43E5A-6C8E-4F0E-8565-32F94516037B}"/>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31623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665</xdr:row>
      <xdr:rowOff>0</xdr:rowOff>
    </xdr:from>
    <xdr:ext cx="152400" cy="152400"/>
    <xdr:pic>
      <xdr:nvPicPr>
        <xdr:cNvPr id="796" name="Immagine 795" descr="http://demaco.consob/ArchiflowWeb/images/indicator.gif">
          <a:extLst>
            <a:ext uri="{FF2B5EF4-FFF2-40B4-BE49-F238E27FC236}">
              <a16:creationId xmlns:a16="http://schemas.microsoft.com/office/drawing/2014/main" id="{6A9F08DC-7869-43C2-8A65-54C420034056}"/>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31623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665</xdr:row>
      <xdr:rowOff>0</xdr:rowOff>
    </xdr:from>
    <xdr:ext cx="152400" cy="152400"/>
    <xdr:pic>
      <xdr:nvPicPr>
        <xdr:cNvPr id="797" name="Immagine 796" descr="http://demaco.consob/ArchiflowWeb/images/indicator.gif">
          <a:extLst>
            <a:ext uri="{FF2B5EF4-FFF2-40B4-BE49-F238E27FC236}">
              <a16:creationId xmlns:a16="http://schemas.microsoft.com/office/drawing/2014/main" id="{7B55CC69-BCC2-45B5-BB24-1AA92AB23961}"/>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31623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665</xdr:row>
      <xdr:rowOff>0</xdr:rowOff>
    </xdr:from>
    <xdr:ext cx="152400" cy="152400"/>
    <xdr:pic>
      <xdr:nvPicPr>
        <xdr:cNvPr id="798" name="Immagine 797" descr="http://demaco.consob/ArchiflowWeb/images/indicator.gif">
          <a:extLst>
            <a:ext uri="{FF2B5EF4-FFF2-40B4-BE49-F238E27FC236}">
              <a16:creationId xmlns:a16="http://schemas.microsoft.com/office/drawing/2014/main" id="{0DF278B5-1B3C-4C6C-8EB5-2FE3F05E5CEA}"/>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31623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665</xdr:row>
      <xdr:rowOff>0</xdr:rowOff>
    </xdr:from>
    <xdr:ext cx="152400" cy="152400"/>
    <xdr:pic>
      <xdr:nvPicPr>
        <xdr:cNvPr id="799" name="Immagine 798" descr="http://demaco.consob/ArchiflowWeb/images/indicator.gif">
          <a:extLst>
            <a:ext uri="{FF2B5EF4-FFF2-40B4-BE49-F238E27FC236}">
              <a16:creationId xmlns:a16="http://schemas.microsoft.com/office/drawing/2014/main" id="{8C021732-31D2-4E42-A134-E222EFE511D4}"/>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31623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665</xdr:row>
      <xdr:rowOff>0</xdr:rowOff>
    </xdr:from>
    <xdr:ext cx="152400" cy="152400"/>
    <xdr:pic>
      <xdr:nvPicPr>
        <xdr:cNvPr id="800" name="Immagine 799" descr="http://demaco.consob/ArchiflowWeb/images/indicator.gif">
          <a:extLst>
            <a:ext uri="{FF2B5EF4-FFF2-40B4-BE49-F238E27FC236}">
              <a16:creationId xmlns:a16="http://schemas.microsoft.com/office/drawing/2014/main" id="{F9C80FE6-2BAB-4187-B0E1-33531F1013B6}"/>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31623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665</xdr:row>
      <xdr:rowOff>0</xdr:rowOff>
    </xdr:from>
    <xdr:ext cx="152400" cy="152400"/>
    <xdr:pic>
      <xdr:nvPicPr>
        <xdr:cNvPr id="801" name="Immagine 800" descr="http://demaco.consob/ArchiflowWeb/images/indicator.gif">
          <a:extLst>
            <a:ext uri="{FF2B5EF4-FFF2-40B4-BE49-F238E27FC236}">
              <a16:creationId xmlns:a16="http://schemas.microsoft.com/office/drawing/2014/main" id="{C5E1231F-F5B2-40ED-B3B1-1C2F12EBFAC2}"/>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31623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665</xdr:row>
      <xdr:rowOff>0</xdr:rowOff>
    </xdr:from>
    <xdr:ext cx="152400" cy="152400"/>
    <xdr:pic>
      <xdr:nvPicPr>
        <xdr:cNvPr id="802" name="Immagine 801" descr="http://demaco.consob/ArchiflowWeb/images/indicator.gif">
          <a:extLst>
            <a:ext uri="{FF2B5EF4-FFF2-40B4-BE49-F238E27FC236}">
              <a16:creationId xmlns:a16="http://schemas.microsoft.com/office/drawing/2014/main" id="{2CE10DDF-C9D1-4DAB-97AB-C0AC0AAF3B3F}"/>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31623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665</xdr:row>
      <xdr:rowOff>0</xdr:rowOff>
    </xdr:from>
    <xdr:ext cx="152400" cy="152400"/>
    <xdr:pic>
      <xdr:nvPicPr>
        <xdr:cNvPr id="803" name="Immagine 802" descr="http://demaco.consob/ArchiflowWeb/images/indicator.gif">
          <a:extLst>
            <a:ext uri="{FF2B5EF4-FFF2-40B4-BE49-F238E27FC236}">
              <a16:creationId xmlns:a16="http://schemas.microsoft.com/office/drawing/2014/main" id="{C29EE3B1-F31B-4FAC-9015-9C935CC3D171}"/>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31623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665</xdr:row>
      <xdr:rowOff>0</xdr:rowOff>
    </xdr:from>
    <xdr:ext cx="152400" cy="152400"/>
    <xdr:pic>
      <xdr:nvPicPr>
        <xdr:cNvPr id="804" name="Immagine 803" descr="http://demaco.consob/ArchiflowWeb/images/indicator.gif">
          <a:extLst>
            <a:ext uri="{FF2B5EF4-FFF2-40B4-BE49-F238E27FC236}">
              <a16:creationId xmlns:a16="http://schemas.microsoft.com/office/drawing/2014/main" id="{021C1EE7-9E48-4C42-A681-8392E83B4594}"/>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31623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665</xdr:row>
      <xdr:rowOff>0</xdr:rowOff>
    </xdr:from>
    <xdr:ext cx="152400" cy="152400"/>
    <xdr:pic>
      <xdr:nvPicPr>
        <xdr:cNvPr id="805" name="Immagine 804" descr="http://demaco.consob/ArchiflowWeb/images/indicator.gif">
          <a:extLst>
            <a:ext uri="{FF2B5EF4-FFF2-40B4-BE49-F238E27FC236}">
              <a16:creationId xmlns:a16="http://schemas.microsoft.com/office/drawing/2014/main" id="{A0258BC1-961D-4CCD-A864-2CAB6A5DDFCD}"/>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31623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665</xdr:row>
      <xdr:rowOff>0</xdr:rowOff>
    </xdr:from>
    <xdr:ext cx="152400" cy="152400"/>
    <xdr:pic>
      <xdr:nvPicPr>
        <xdr:cNvPr id="806" name="Immagine 805" descr="http://demaco.consob/ArchiflowWeb/images/indicator.gif">
          <a:extLst>
            <a:ext uri="{FF2B5EF4-FFF2-40B4-BE49-F238E27FC236}">
              <a16:creationId xmlns:a16="http://schemas.microsoft.com/office/drawing/2014/main" id="{DB24F761-B71C-4D78-8041-6E8E0D7AC2E6}"/>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31623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665</xdr:row>
      <xdr:rowOff>0</xdr:rowOff>
    </xdr:from>
    <xdr:ext cx="152400" cy="152400"/>
    <xdr:pic>
      <xdr:nvPicPr>
        <xdr:cNvPr id="807" name="Immagine 806" descr="http://demaco.consob/ArchiflowWeb/images/indicator.gif">
          <a:extLst>
            <a:ext uri="{FF2B5EF4-FFF2-40B4-BE49-F238E27FC236}">
              <a16:creationId xmlns:a16="http://schemas.microsoft.com/office/drawing/2014/main" id="{CB69BA3E-06E0-4B88-84D8-2F328092959B}"/>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31623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665</xdr:row>
      <xdr:rowOff>0</xdr:rowOff>
    </xdr:from>
    <xdr:ext cx="152400" cy="152400"/>
    <xdr:pic>
      <xdr:nvPicPr>
        <xdr:cNvPr id="808" name="Immagine 807" descr="http://demaco.consob/ArchiflowWeb/images/indicator.gif">
          <a:extLst>
            <a:ext uri="{FF2B5EF4-FFF2-40B4-BE49-F238E27FC236}">
              <a16:creationId xmlns:a16="http://schemas.microsoft.com/office/drawing/2014/main" id="{1CB2A22A-2F2E-4DA5-A0D2-11E801F09933}"/>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31623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665</xdr:row>
      <xdr:rowOff>0</xdr:rowOff>
    </xdr:from>
    <xdr:ext cx="152400" cy="152400"/>
    <xdr:pic>
      <xdr:nvPicPr>
        <xdr:cNvPr id="809" name="Immagine 808" descr="http://demaco.consob/ArchiflowWeb/images/indicator.gif">
          <a:extLst>
            <a:ext uri="{FF2B5EF4-FFF2-40B4-BE49-F238E27FC236}">
              <a16:creationId xmlns:a16="http://schemas.microsoft.com/office/drawing/2014/main" id="{78C0B4D7-C9A5-4186-9BA7-4E3CC31A028A}"/>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31623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665</xdr:row>
      <xdr:rowOff>0</xdr:rowOff>
    </xdr:from>
    <xdr:ext cx="152400" cy="152400"/>
    <xdr:pic>
      <xdr:nvPicPr>
        <xdr:cNvPr id="810" name="Immagine 809" descr="http://demaco.consob/ArchiflowWeb/images/indicator.gif">
          <a:extLst>
            <a:ext uri="{FF2B5EF4-FFF2-40B4-BE49-F238E27FC236}">
              <a16:creationId xmlns:a16="http://schemas.microsoft.com/office/drawing/2014/main" id="{4145270F-3A9B-4BF0-9F15-73E40C15C343}"/>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31623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665</xdr:row>
      <xdr:rowOff>0</xdr:rowOff>
    </xdr:from>
    <xdr:ext cx="152400" cy="152400"/>
    <xdr:pic>
      <xdr:nvPicPr>
        <xdr:cNvPr id="811" name="Immagine 810" descr="http://demaco.consob/ArchiflowWeb/images/indicator.gif">
          <a:extLst>
            <a:ext uri="{FF2B5EF4-FFF2-40B4-BE49-F238E27FC236}">
              <a16:creationId xmlns:a16="http://schemas.microsoft.com/office/drawing/2014/main" id="{EA4CD9C4-FCFC-4467-A279-B6D191557BF3}"/>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31623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665</xdr:row>
      <xdr:rowOff>0</xdr:rowOff>
    </xdr:from>
    <xdr:ext cx="152400" cy="152400"/>
    <xdr:pic>
      <xdr:nvPicPr>
        <xdr:cNvPr id="812" name="Immagine 811" descr="http://demaco.consob/ArchiflowWeb/images/indicator.gif">
          <a:extLst>
            <a:ext uri="{FF2B5EF4-FFF2-40B4-BE49-F238E27FC236}">
              <a16:creationId xmlns:a16="http://schemas.microsoft.com/office/drawing/2014/main" id="{E5A457EE-0026-4D70-A674-14EC3D55215D}"/>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31623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665</xdr:row>
      <xdr:rowOff>0</xdr:rowOff>
    </xdr:from>
    <xdr:ext cx="152400" cy="152400"/>
    <xdr:pic>
      <xdr:nvPicPr>
        <xdr:cNvPr id="813" name="Immagine 812" descr="http://demaco.consob/ArchiflowWeb/images/indicator.gif">
          <a:extLst>
            <a:ext uri="{FF2B5EF4-FFF2-40B4-BE49-F238E27FC236}">
              <a16:creationId xmlns:a16="http://schemas.microsoft.com/office/drawing/2014/main" id="{35E26FB9-BFB0-48CB-9D16-A28C0E4D89A6}"/>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31623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665</xdr:row>
      <xdr:rowOff>0</xdr:rowOff>
    </xdr:from>
    <xdr:ext cx="152400" cy="152400"/>
    <xdr:pic>
      <xdr:nvPicPr>
        <xdr:cNvPr id="814" name="Immagine 813" descr="http://demaco.consob/ArchiflowWeb/images/indicator.gif">
          <a:extLst>
            <a:ext uri="{FF2B5EF4-FFF2-40B4-BE49-F238E27FC236}">
              <a16:creationId xmlns:a16="http://schemas.microsoft.com/office/drawing/2014/main" id="{65058116-CF63-462F-A496-4C5E1AB47D2D}"/>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31623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665</xdr:row>
      <xdr:rowOff>0</xdr:rowOff>
    </xdr:from>
    <xdr:ext cx="152400" cy="152400"/>
    <xdr:pic>
      <xdr:nvPicPr>
        <xdr:cNvPr id="815" name="Immagine 814" descr="http://demaco.consob/ArchiflowWeb/images/indicator.gif">
          <a:extLst>
            <a:ext uri="{FF2B5EF4-FFF2-40B4-BE49-F238E27FC236}">
              <a16:creationId xmlns:a16="http://schemas.microsoft.com/office/drawing/2014/main" id="{E537C385-6D27-4795-9609-9C5D2D96303F}"/>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31623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665</xdr:row>
      <xdr:rowOff>0</xdr:rowOff>
    </xdr:from>
    <xdr:ext cx="152400" cy="152400"/>
    <xdr:pic>
      <xdr:nvPicPr>
        <xdr:cNvPr id="816" name="Immagine 815" descr="http://demaco.consob/ArchiflowWeb/images/indicator.gif">
          <a:extLst>
            <a:ext uri="{FF2B5EF4-FFF2-40B4-BE49-F238E27FC236}">
              <a16:creationId xmlns:a16="http://schemas.microsoft.com/office/drawing/2014/main" id="{6EE43B2C-BD83-4892-A2C3-5180C3632A81}"/>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31623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665</xdr:row>
      <xdr:rowOff>0</xdr:rowOff>
    </xdr:from>
    <xdr:ext cx="152400" cy="152400"/>
    <xdr:pic>
      <xdr:nvPicPr>
        <xdr:cNvPr id="817" name="Immagine 816" descr="http://demaco.consob/ArchiflowWeb/images/indicator.gif">
          <a:extLst>
            <a:ext uri="{FF2B5EF4-FFF2-40B4-BE49-F238E27FC236}">
              <a16:creationId xmlns:a16="http://schemas.microsoft.com/office/drawing/2014/main" id="{F6833C51-53EE-4989-98BD-5779E13262D9}"/>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31623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665</xdr:row>
      <xdr:rowOff>0</xdr:rowOff>
    </xdr:from>
    <xdr:ext cx="152400" cy="152400"/>
    <xdr:pic>
      <xdr:nvPicPr>
        <xdr:cNvPr id="818" name="Immagine 817" descr="http://demaco.consob/ArchiflowWeb/images/indicator.gif">
          <a:extLst>
            <a:ext uri="{FF2B5EF4-FFF2-40B4-BE49-F238E27FC236}">
              <a16:creationId xmlns:a16="http://schemas.microsoft.com/office/drawing/2014/main" id="{B384FC49-FC55-4561-8BA3-DEEBF049AD38}"/>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31623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665</xdr:row>
      <xdr:rowOff>0</xdr:rowOff>
    </xdr:from>
    <xdr:ext cx="152400" cy="152400"/>
    <xdr:pic>
      <xdr:nvPicPr>
        <xdr:cNvPr id="819" name="Immagine 818" descr="http://demaco.consob/ArchiflowWeb/images/indicator.gif">
          <a:extLst>
            <a:ext uri="{FF2B5EF4-FFF2-40B4-BE49-F238E27FC236}">
              <a16:creationId xmlns:a16="http://schemas.microsoft.com/office/drawing/2014/main" id="{11900AD5-FFCA-4E67-946B-0A94E24C2AFE}"/>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31623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665</xdr:row>
      <xdr:rowOff>0</xdr:rowOff>
    </xdr:from>
    <xdr:ext cx="152400" cy="152400"/>
    <xdr:pic>
      <xdr:nvPicPr>
        <xdr:cNvPr id="820" name="Immagine 819" descr="http://demaco.consob/ArchiflowWeb/images/indicator.gif">
          <a:extLst>
            <a:ext uri="{FF2B5EF4-FFF2-40B4-BE49-F238E27FC236}">
              <a16:creationId xmlns:a16="http://schemas.microsoft.com/office/drawing/2014/main" id="{69DD1EE4-8025-4C24-901C-B191A914C61A}"/>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31623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665</xdr:row>
      <xdr:rowOff>0</xdr:rowOff>
    </xdr:from>
    <xdr:ext cx="152400" cy="152400"/>
    <xdr:pic>
      <xdr:nvPicPr>
        <xdr:cNvPr id="821" name="Immagine 820" descr="http://demaco.consob/ArchiflowWeb/images/indicator.gif">
          <a:extLst>
            <a:ext uri="{FF2B5EF4-FFF2-40B4-BE49-F238E27FC236}">
              <a16:creationId xmlns:a16="http://schemas.microsoft.com/office/drawing/2014/main" id="{1F0B8EBA-99B1-4FBF-9CF1-D34056982AF7}"/>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31623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665</xdr:row>
      <xdr:rowOff>0</xdr:rowOff>
    </xdr:from>
    <xdr:ext cx="152400" cy="152400"/>
    <xdr:pic>
      <xdr:nvPicPr>
        <xdr:cNvPr id="822" name="Immagine 821" descr="http://demaco.consob/ArchiflowWeb/images/indicator.gif">
          <a:extLst>
            <a:ext uri="{FF2B5EF4-FFF2-40B4-BE49-F238E27FC236}">
              <a16:creationId xmlns:a16="http://schemas.microsoft.com/office/drawing/2014/main" id="{70D723C6-37C0-4315-ABFC-099051E3F289}"/>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31623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665</xdr:row>
      <xdr:rowOff>0</xdr:rowOff>
    </xdr:from>
    <xdr:ext cx="152400" cy="152400"/>
    <xdr:pic>
      <xdr:nvPicPr>
        <xdr:cNvPr id="823" name="Immagine 822" descr="http://demaco.consob/ArchiflowWeb/images/indicator.gif">
          <a:extLst>
            <a:ext uri="{FF2B5EF4-FFF2-40B4-BE49-F238E27FC236}">
              <a16:creationId xmlns:a16="http://schemas.microsoft.com/office/drawing/2014/main" id="{95C60FB9-7B48-45DB-9D85-6ABB06415B7F}"/>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31623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665</xdr:row>
      <xdr:rowOff>0</xdr:rowOff>
    </xdr:from>
    <xdr:ext cx="152400" cy="152400"/>
    <xdr:pic>
      <xdr:nvPicPr>
        <xdr:cNvPr id="824" name="Immagine 823" descr="http://demaco.consob/ArchiflowWeb/images/indicator.gif">
          <a:extLst>
            <a:ext uri="{FF2B5EF4-FFF2-40B4-BE49-F238E27FC236}">
              <a16:creationId xmlns:a16="http://schemas.microsoft.com/office/drawing/2014/main" id="{82D07453-196C-4104-AA16-ACD48499F66D}"/>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31623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665</xdr:row>
      <xdr:rowOff>0</xdr:rowOff>
    </xdr:from>
    <xdr:ext cx="152400" cy="152400"/>
    <xdr:pic>
      <xdr:nvPicPr>
        <xdr:cNvPr id="825" name="Immagine 824" descr="http://demaco.consob/ArchiflowWeb/images/indicator.gif">
          <a:extLst>
            <a:ext uri="{FF2B5EF4-FFF2-40B4-BE49-F238E27FC236}">
              <a16:creationId xmlns:a16="http://schemas.microsoft.com/office/drawing/2014/main" id="{4FDC80E1-5403-4734-ADA9-6B851C9FE41D}"/>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31623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665</xdr:row>
      <xdr:rowOff>0</xdr:rowOff>
    </xdr:from>
    <xdr:ext cx="152400" cy="152400"/>
    <xdr:pic>
      <xdr:nvPicPr>
        <xdr:cNvPr id="826" name="Immagine 825" descr="http://demaco.consob/ArchiflowWeb/images/indicator.gif">
          <a:extLst>
            <a:ext uri="{FF2B5EF4-FFF2-40B4-BE49-F238E27FC236}">
              <a16:creationId xmlns:a16="http://schemas.microsoft.com/office/drawing/2014/main" id="{250869E1-ECCC-451A-90DC-29F627923EE9}"/>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31623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665</xdr:row>
      <xdr:rowOff>0</xdr:rowOff>
    </xdr:from>
    <xdr:ext cx="152400" cy="152400"/>
    <xdr:pic>
      <xdr:nvPicPr>
        <xdr:cNvPr id="827" name="Immagine 826" descr="http://demaco.consob/ArchiflowWeb/images/indicator.gif">
          <a:extLst>
            <a:ext uri="{FF2B5EF4-FFF2-40B4-BE49-F238E27FC236}">
              <a16:creationId xmlns:a16="http://schemas.microsoft.com/office/drawing/2014/main" id="{DC4785ED-B18D-490F-A574-888359C264B6}"/>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31623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665</xdr:row>
      <xdr:rowOff>0</xdr:rowOff>
    </xdr:from>
    <xdr:ext cx="152400" cy="152400"/>
    <xdr:pic>
      <xdr:nvPicPr>
        <xdr:cNvPr id="828" name="Immagine 827" descr="http://demaco.consob/ArchiflowWeb/images/indicator.gif">
          <a:extLst>
            <a:ext uri="{FF2B5EF4-FFF2-40B4-BE49-F238E27FC236}">
              <a16:creationId xmlns:a16="http://schemas.microsoft.com/office/drawing/2014/main" id="{424DBD0C-CFBB-44C3-8D37-06D71E958FCF}"/>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31623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665</xdr:row>
      <xdr:rowOff>0</xdr:rowOff>
    </xdr:from>
    <xdr:ext cx="152400" cy="152400"/>
    <xdr:pic>
      <xdr:nvPicPr>
        <xdr:cNvPr id="829" name="Immagine 828" descr="http://demaco.consob/ArchiflowWeb/images/indicator.gif">
          <a:extLst>
            <a:ext uri="{FF2B5EF4-FFF2-40B4-BE49-F238E27FC236}">
              <a16:creationId xmlns:a16="http://schemas.microsoft.com/office/drawing/2014/main" id="{6674DFB2-D851-46F6-8D2F-4FAA0BDCDD36}"/>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31623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665</xdr:row>
      <xdr:rowOff>0</xdr:rowOff>
    </xdr:from>
    <xdr:ext cx="152400" cy="152400"/>
    <xdr:pic>
      <xdr:nvPicPr>
        <xdr:cNvPr id="830" name="Immagine 829" descr="http://demaco.consob/ArchiflowWeb/images/indicator.gif">
          <a:extLst>
            <a:ext uri="{FF2B5EF4-FFF2-40B4-BE49-F238E27FC236}">
              <a16:creationId xmlns:a16="http://schemas.microsoft.com/office/drawing/2014/main" id="{21DB8C36-A6B1-4C48-8352-9C829B64DC46}"/>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31623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665</xdr:row>
      <xdr:rowOff>0</xdr:rowOff>
    </xdr:from>
    <xdr:ext cx="152400" cy="152400"/>
    <xdr:pic>
      <xdr:nvPicPr>
        <xdr:cNvPr id="831" name="Immagine 830" descr="http://demaco.consob/ArchiflowWeb/images/indicator.gif">
          <a:extLst>
            <a:ext uri="{FF2B5EF4-FFF2-40B4-BE49-F238E27FC236}">
              <a16:creationId xmlns:a16="http://schemas.microsoft.com/office/drawing/2014/main" id="{D99634F1-1BB2-449D-8499-5822E9C50D3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31623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665</xdr:row>
      <xdr:rowOff>0</xdr:rowOff>
    </xdr:from>
    <xdr:ext cx="152400" cy="152400"/>
    <xdr:pic>
      <xdr:nvPicPr>
        <xdr:cNvPr id="832" name="Immagine 831" descr="http://demaco.consob/ArchiflowWeb/images/indicator.gif">
          <a:extLst>
            <a:ext uri="{FF2B5EF4-FFF2-40B4-BE49-F238E27FC236}">
              <a16:creationId xmlns:a16="http://schemas.microsoft.com/office/drawing/2014/main" id="{6F78D2BA-7C20-4071-B174-86A5D806BE12}"/>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31623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665</xdr:row>
      <xdr:rowOff>0</xdr:rowOff>
    </xdr:from>
    <xdr:ext cx="152400" cy="152400"/>
    <xdr:pic>
      <xdr:nvPicPr>
        <xdr:cNvPr id="833" name="Immagine 832" descr="http://demaco.consob/ArchiflowWeb/images/indicator.gif">
          <a:extLst>
            <a:ext uri="{FF2B5EF4-FFF2-40B4-BE49-F238E27FC236}">
              <a16:creationId xmlns:a16="http://schemas.microsoft.com/office/drawing/2014/main" id="{2DFE2C8C-940F-4A5D-8C83-A0902F538114}"/>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31623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665</xdr:row>
      <xdr:rowOff>0</xdr:rowOff>
    </xdr:from>
    <xdr:ext cx="152400" cy="152400"/>
    <xdr:pic>
      <xdr:nvPicPr>
        <xdr:cNvPr id="834" name="Immagine 833" descr="http://demaco.consob/ArchiflowWeb/images/indicator.gif">
          <a:extLst>
            <a:ext uri="{FF2B5EF4-FFF2-40B4-BE49-F238E27FC236}">
              <a16:creationId xmlns:a16="http://schemas.microsoft.com/office/drawing/2014/main" id="{B6600CE7-E330-42CB-BB21-DF672ABFFA1D}"/>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31623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665</xdr:row>
      <xdr:rowOff>0</xdr:rowOff>
    </xdr:from>
    <xdr:ext cx="152400" cy="152400"/>
    <xdr:pic>
      <xdr:nvPicPr>
        <xdr:cNvPr id="835" name="Immagine 834" descr="http://demaco.consob/ArchiflowWeb/images/indicator.gif">
          <a:extLst>
            <a:ext uri="{FF2B5EF4-FFF2-40B4-BE49-F238E27FC236}">
              <a16:creationId xmlns:a16="http://schemas.microsoft.com/office/drawing/2014/main" id="{0636BE89-ABED-4F9D-9DEC-534B44FF01A6}"/>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31623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665</xdr:row>
      <xdr:rowOff>0</xdr:rowOff>
    </xdr:from>
    <xdr:ext cx="152400" cy="152400"/>
    <xdr:pic>
      <xdr:nvPicPr>
        <xdr:cNvPr id="836" name="Immagine 835" descr="http://demaco.consob/ArchiflowWeb/images/indicator.gif">
          <a:extLst>
            <a:ext uri="{FF2B5EF4-FFF2-40B4-BE49-F238E27FC236}">
              <a16:creationId xmlns:a16="http://schemas.microsoft.com/office/drawing/2014/main" id="{78383807-62E7-43AB-AF69-12BFB011599E}"/>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31623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665</xdr:row>
      <xdr:rowOff>0</xdr:rowOff>
    </xdr:from>
    <xdr:ext cx="152400" cy="152400"/>
    <xdr:pic>
      <xdr:nvPicPr>
        <xdr:cNvPr id="837" name="Immagine 836" descr="http://demaco.consob/ArchiflowWeb/images/indicator.gif">
          <a:extLst>
            <a:ext uri="{FF2B5EF4-FFF2-40B4-BE49-F238E27FC236}">
              <a16:creationId xmlns:a16="http://schemas.microsoft.com/office/drawing/2014/main" id="{17AC1A3E-1E13-493A-BEE5-C09A5B1AA38C}"/>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31623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666</xdr:row>
      <xdr:rowOff>0</xdr:rowOff>
    </xdr:from>
    <xdr:ext cx="152400" cy="152400"/>
    <xdr:pic>
      <xdr:nvPicPr>
        <xdr:cNvPr id="838" name="Immagine 837" descr="http://demaco.consob/ArchiflowWeb/images/indicator.gif">
          <a:extLst>
            <a:ext uri="{FF2B5EF4-FFF2-40B4-BE49-F238E27FC236}">
              <a16:creationId xmlns:a16="http://schemas.microsoft.com/office/drawing/2014/main" id="{69A849FB-53E3-49CD-A7AD-48E28A3B7F63}"/>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666</xdr:row>
      <xdr:rowOff>0</xdr:rowOff>
    </xdr:from>
    <xdr:ext cx="152400" cy="152400"/>
    <xdr:pic>
      <xdr:nvPicPr>
        <xdr:cNvPr id="839" name="Immagine 838" descr="http://demaco.consob/ArchiflowWeb/images/indicator.gif">
          <a:extLst>
            <a:ext uri="{FF2B5EF4-FFF2-40B4-BE49-F238E27FC236}">
              <a16:creationId xmlns:a16="http://schemas.microsoft.com/office/drawing/2014/main" id="{791A8635-C3C9-44A8-8330-351459F540D8}"/>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666</xdr:row>
      <xdr:rowOff>0</xdr:rowOff>
    </xdr:from>
    <xdr:ext cx="152400" cy="152400"/>
    <xdr:pic>
      <xdr:nvPicPr>
        <xdr:cNvPr id="840" name="Immagine 839" descr="http://demaco.consob/ArchiflowWeb/images/indicator.gif">
          <a:extLst>
            <a:ext uri="{FF2B5EF4-FFF2-40B4-BE49-F238E27FC236}">
              <a16:creationId xmlns:a16="http://schemas.microsoft.com/office/drawing/2014/main" id="{D4D7482F-85DB-44C8-A032-4C9BCB9B3504}"/>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666</xdr:row>
      <xdr:rowOff>0</xdr:rowOff>
    </xdr:from>
    <xdr:ext cx="152400" cy="152400"/>
    <xdr:pic>
      <xdr:nvPicPr>
        <xdr:cNvPr id="841" name="Immagine 840" descr="http://demaco.consob/ArchiflowWeb/images/indicator.gif">
          <a:extLst>
            <a:ext uri="{FF2B5EF4-FFF2-40B4-BE49-F238E27FC236}">
              <a16:creationId xmlns:a16="http://schemas.microsoft.com/office/drawing/2014/main" id="{A8DC2948-B37F-43FC-BDFE-F37EF463C521}"/>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666</xdr:row>
      <xdr:rowOff>0</xdr:rowOff>
    </xdr:from>
    <xdr:ext cx="152400" cy="152400"/>
    <xdr:pic>
      <xdr:nvPicPr>
        <xdr:cNvPr id="842" name="Immagine 841" descr="http://demaco.consob/ArchiflowWeb/images/indicator.gif">
          <a:extLst>
            <a:ext uri="{FF2B5EF4-FFF2-40B4-BE49-F238E27FC236}">
              <a16:creationId xmlns:a16="http://schemas.microsoft.com/office/drawing/2014/main" id="{3CF6EAAE-0CF3-482A-9068-866FBF3AFFE1}"/>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666</xdr:row>
      <xdr:rowOff>0</xdr:rowOff>
    </xdr:from>
    <xdr:ext cx="152400" cy="152400"/>
    <xdr:pic>
      <xdr:nvPicPr>
        <xdr:cNvPr id="843" name="Immagine 842" descr="http://demaco.consob/ArchiflowWeb/images/indicator.gif">
          <a:extLst>
            <a:ext uri="{FF2B5EF4-FFF2-40B4-BE49-F238E27FC236}">
              <a16:creationId xmlns:a16="http://schemas.microsoft.com/office/drawing/2014/main" id="{A978FA0F-2384-4AFF-BDA8-B5CC64A03927}"/>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666</xdr:row>
      <xdr:rowOff>0</xdr:rowOff>
    </xdr:from>
    <xdr:ext cx="152400" cy="152400"/>
    <xdr:pic>
      <xdr:nvPicPr>
        <xdr:cNvPr id="844" name="Immagine 843" descr="http://demaco.consob/ArchiflowWeb/images/indicator.gif">
          <a:extLst>
            <a:ext uri="{FF2B5EF4-FFF2-40B4-BE49-F238E27FC236}">
              <a16:creationId xmlns:a16="http://schemas.microsoft.com/office/drawing/2014/main" id="{9C19427A-AC59-43D7-A3EA-65FF89B568A9}"/>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666</xdr:row>
      <xdr:rowOff>0</xdr:rowOff>
    </xdr:from>
    <xdr:ext cx="152400" cy="152400"/>
    <xdr:pic>
      <xdr:nvPicPr>
        <xdr:cNvPr id="845" name="Immagine 844" descr="http://demaco.consob/ArchiflowWeb/images/indicator.gif">
          <a:extLst>
            <a:ext uri="{FF2B5EF4-FFF2-40B4-BE49-F238E27FC236}">
              <a16:creationId xmlns:a16="http://schemas.microsoft.com/office/drawing/2014/main" id="{95AC4F54-DD90-4191-9B68-4ED5010F73E5}"/>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666</xdr:row>
      <xdr:rowOff>0</xdr:rowOff>
    </xdr:from>
    <xdr:ext cx="152400" cy="152400"/>
    <xdr:pic>
      <xdr:nvPicPr>
        <xdr:cNvPr id="846" name="Immagine 845" descr="http://demaco.consob/ArchiflowWeb/images/indicator.gif">
          <a:extLst>
            <a:ext uri="{FF2B5EF4-FFF2-40B4-BE49-F238E27FC236}">
              <a16:creationId xmlns:a16="http://schemas.microsoft.com/office/drawing/2014/main" id="{1ADCD2CF-63DF-4009-8723-85F4C0FC9C25}"/>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666</xdr:row>
      <xdr:rowOff>0</xdr:rowOff>
    </xdr:from>
    <xdr:ext cx="152400" cy="152400"/>
    <xdr:pic>
      <xdr:nvPicPr>
        <xdr:cNvPr id="847" name="Immagine 846" descr="http://demaco.consob/ArchiflowWeb/images/indicator.gif">
          <a:extLst>
            <a:ext uri="{FF2B5EF4-FFF2-40B4-BE49-F238E27FC236}">
              <a16:creationId xmlns:a16="http://schemas.microsoft.com/office/drawing/2014/main" id="{046CB767-2F77-45B2-A9E7-5B1FA7D59AA7}"/>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666</xdr:row>
      <xdr:rowOff>0</xdr:rowOff>
    </xdr:from>
    <xdr:ext cx="152400" cy="152400"/>
    <xdr:pic>
      <xdr:nvPicPr>
        <xdr:cNvPr id="848" name="Immagine 847" descr="http://demaco.consob/ArchiflowWeb/images/indicator.gif">
          <a:extLst>
            <a:ext uri="{FF2B5EF4-FFF2-40B4-BE49-F238E27FC236}">
              <a16:creationId xmlns:a16="http://schemas.microsoft.com/office/drawing/2014/main" id="{BBC8DACC-88FD-4120-88AA-CA12E827116F}"/>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666</xdr:row>
      <xdr:rowOff>0</xdr:rowOff>
    </xdr:from>
    <xdr:ext cx="152400" cy="152400"/>
    <xdr:pic>
      <xdr:nvPicPr>
        <xdr:cNvPr id="849" name="Immagine 848" descr="http://demaco.consob/ArchiflowWeb/images/indicator.gif">
          <a:extLst>
            <a:ext uri="{FF2B5EF4-FFF2-40B4-BE49-F238E27FC236}">
              <a16:creationId xmlns:a16="http://schemas.microsoft.com/office/drawing/2014/main" id="{2A34F2EA-BDE8-4BF5-B46B-28AFD9E92381}"/>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666</xdr:row>
      <xdr:rowOff>0</xdr:rowOff>
    </xdr:from>
    <xdr:ext cx="152400" cy="152400"/>
    <xdr:pic>
      <xdr:nvPicPr>
        <xdr:cNvPr id="850" name="Immagine 849" descr="http://demaco.consob/ArchiflowWeb/images/indicator.gif">
          <a:extLst>
            <a:ext uri="{FF2B5EF4-FFF2-40B4-BE49-F238E27FC236}">
              <a16:creationId xmlns:a16="http://schemas.microsoft.com/office/drawing/2014/main" id="{F49553A1-54F6-4B76-A346-8A79966A9042}"/>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666</xdr:row>
      <xdr:rowOff>0</xdr:rowOff>
    </xdr:from>
    <xdr:ext cx="152400" cy="152400"/>
    <xdr:pic>
      <xdr:nvPicPr>
        <xdr:cNvPr id="851" name="Immagine 850" descr="http://demaco.consob/ArchiflowWeb/images/indicator.gif">
          <a:extLst>
            <a:ext uri="{FF2B5EF4-FFF2-40B4-BE49-F238E27FC236}">
              <a16:creationId xmlns:a16="http://schemas.microsoft.com/office/drawing/2014/main" id="{A50096E2-9A09-4A68-AC50-8AA7E087FF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666</xdr:row>
      <xdr:rowOff>0</xdr:rowOff>
    </xdr:from>
    <xdr:ext cx="152400" cy="152400"/>
    <xdr:pic>
      <xdr:nvPicPr>
        <xdr:cNvPr id="852" name="Immagine 851" descr="http://demaco.consob/ArchiflowWeb/images/indicator.gif">
          <a:extLst>
            <a:ext uri="{FF2B5EF4-FFF2-40B4-BE49-F238E27FC236}">
              <a16:creationId xmlns:a16="http://schemas.microsoft.com/office/drawing/2014/main" id="{66C9A50D-6EB4-4D8F-AC16-443B36D88B02}"/>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666</xdr:row>
      <xdr:rowOff>0</xdr:rowOff>
    </xdr:from>
    <xdr:ext cx="152400" cy="152400"/>
    <xdr:pic>
      <xdr:nvPicPr>
        <xdr:cNvPr id="853" name="Immagine 852" descr="http://demaco.consob/ArchiflowWeb/images/indicator.gif">
          <a:extLst>
            <a:ext uri="{FF2B5EF4-FFF2-40B4-BE49-F238E27FC236}">
              <a16:creationId xmlns:a16="http://schemas.microsoft.com/office/drawing/2014/main" id="{0146A2A8-2C6E-4365-BBEC-D9973230BEC2}"/>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666</xdr:row>
      <xdr:rowOff>0</xdr:rowOff>
    </xdr:from>
    <xdr:ext cx="152400" cy="152400"/>
    <xdr:pic>
      <xdr:nvPicPr>
        <xdr:cNvPr id="854" name="Immagine 853" descr="http://demaco.consob/ArchiflowWeb/images/indicator.gif">
          <a:extLst>
            <a:ext uri="{FF2B5EF4-FFF2-40B4-BE49-F238E27FC236}">
              <a16:creationId xmlns:a16="http://schemas.microsoft.com/office/drawing/2014/main" id="{18135E04-B634-4153-96BA-0D83B8F4AC75}"/>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666</xdr:row>
      <xdr:rowOff>0</xdr:rowOff>
    </xdr:from>
    <xdr:ext cx="152400" cy="152400"/>
    <xdr:pic>
      <xdr:nvPicPr>
        <xdr:cNvPr id="855" name="Immagine 854" descr="http://demaco.consob/ArchiflowWeb/images/indicator.gif">
          <a:extLst>
            <a:ext uri="{FF2B5EF4-FFF2-40B4-BE49-F238E27FC236}">
              <a16:creationId xmlns:a16="http://schemas.microsoft.com/office/drawing/2014/main" id="{7EDD1892-4F6F-48B7-BDE5-2C55E335EE94}"/>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666</xdr:row>
      <xdr:rowOff>0</xdr:rowOff>
    </xdr:from>
    <xdr:ext cx="152400" cy="152400"/>
    <xdr:pic>
      <xdr:nvPicPr>
        <xdr:cNvPr id="856" name="Immagine 855" descr="http://demaco.consob/ArchiflowWeb/images/indicator.gif">
          <a:extLst>
            <a:ext uri="{FF2B5EF4-FFF2-40B4-BE49-F238E27FC236}">
              <a16:creationId xmlns:a16="http://schemas.microsoft.com/office/drawing/2014/main" id="{C06BE729-D9F2-4FC9-BC28-EC26F28E74C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666</xdr:row>
      <xdr:rowOff>0</xdr:rowOff>
    </xdr:from>
    <xdr:ext cx="152400" cy="152400"/>
    <xdr:pic>
      <xdr:nvPicPr>
        <xdr:cNvPr id="857" name="Immagine 856" descr="http://demaco.consob/ArchiflowWeb/images/indicator.gif">
          <a:extLst>
            <a:ext uri="{FF2B5EF4-FFF2-40B4-BE49-F238E27FC236}">
              <a16:creationId xmlns:a16="http://schemas.microsoft.com/office/drawing/2014/main" id="{61ED6DCF-977A-4572-B2F5-BE6D1737F53D}"/>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666</xdr:row>
      <xdr:rowOff>0</xdr:rowOff>
    </xdr:from>
    <xdr:ext cx="152400" cy="152400"/>
    <xdr:pic>
      <xdr:nvPicPr>
        <xdr:cNvPr id="858" name="Immagine 857" descr="http://demaco.consob/ArchiflowWeb/images/indicator.gif">
          <a:extLst>
            <a:ext uri="{FF2B5EF4-FFF2-40B4-BE49-F238E27FC236}">
              <a16:creationId xmlns:a16="http://schemas.microsoft.com/office/drawing/2014/main" id="{0009740D-D942-456C-91BE-3E9BE67D8CA2}"/>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666</xdr:row>
      <xdr:rowOff>0</xdr:rowOff>
    </xdr:from>
    <xdr:ext cx="152400" cy="152400"/>
    <xdr:pic>
      <xdr:nvPicPr>
        <xdr:cNvPr id="859" name="Immagine 858" descr="http://demaco.consob/ArchiflowWeb/images/indicator.gif">
          <a:extLst>
            <a:ext uri="{FF2B5EF4-FFF2-40B4-BE49-F238E27FC236}">
              <a16:creationId xmlns:a16="http://schemas.microsoft.com/office/drawing/2014/main" id="{6465E0AA-F260-4493-A28D-682D881A7413}"/>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666</xdr:row>
      <xdr:rowOff>0</xdr:rowOff>
    </xdr:from>
    <xdr:ext cx="152400" cy="152400"/>
    <xdr:pic>
      <xdr:nvPicPr>
        <xdr:cNvPr id="860" name="Immagine 859" descr="http://demaco.consob/ArchiflowWeb/images/indicator.gif">
          <a:extLst>
            <a:ext uri="{FF2B5EF4-FFF2-40B4-BE49-F238E27FC236}">
              <a16:creationId xmlns:a16="http://schemas.microsoft.com/office/drawing/2014/main" id="{F75CF616-A175-4D73-9E86-61CD80BE90AD}"/>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666</xdr:row>
      <xdr:rowOff>0</xdr:rowOff>
    </xdr:from>
    <xdr:ext cx="152400" cy="152400"/>
    <xdr:pic>
      <xdr:nvPicPr>
        <xdr:cNvPr id="861" name="Immagine 860" descr="http://demaco.consob/ArchiflowWeb/images/indicator.gif">
          <a:extLst>
            <a:ext uri="{FF2B5EF4-FFF2-40B4-BE49-F238E27FC236}">
              <a16:creationId xmlns:a16="http://schemas.microsoft.com/office/drawing/2014/main" id="{301E6510-0641-4B1E-AFEE-61033E216169}"/>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666</xdr:row>
      <xdr:rowOff>0</xdr:rowOff>
    </xdr:from>
    <xdr:ext cx="152400" cy="152400"/>
    <xdr:pic>
      <xdr:nvPicPr>
        <xdr:cNvPr id="862" name="Immagine 861" descr="http://demaco.consob/ArchiflowWeb/images/indicator.gif">
          <a:extLst>
            <a:ext uri="{FF2B5EF4-FFF2-40B4-BE49-F238E27FC236}">
              <a16:creationId xmlns:a16="http://schemas.microsoft.com/office/drawing/2014/main" id="{2EFA8B23-913A-41C5-B25D-346EB946114C}"/>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666</xdr:row>
      <xdr:rowOff>0</xdr:rowOff>
    </xdr:from>
    <xdr:ext cx="152400" cy="152400"/>
    <xdr:pic>
      <xdr:nvPicPr>
        <xdr:cNvPr id="863" name="Immagine 862" descr="http://demaco.consob/ArchiflowWeb/images/indicator.gif">
          <a:extLst>
            <a:ext uri="{FF2B5EF4-FFF2-40B4-BE49-F238E27FC236}">
              <a16:creationId xmlns:a16="http://schemas.microsoft.com/office/drawing/2014/main" id="{B1495C48-D74A-4384-82FD-61C500BA7432}"/>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666</xdr:row>
      <xdr:rowOff>0</xdr:rowOff>
    </xdr:from>
    <xdr:ext cx="152400" cy="152400"/>
    <xdr:pic>
      <xdr:nvPicPr>
        <xdr:cNvPr id="864" name="Immagine 863" descr="http://demaco.consob/ArchiflowWeb/images/indicator.gif">
          <a:extLst>
            <a:ext uri="{FF2B5EF4-FFF2-40B4-BE49-F238E27FC236}">
              <a16:creationId xmlns:a16="http://schemas.microsoft.com/office/drawing/2014/main" id="{8B6FAF0B-B83B-4351-9C8B-8AD33034A3DC}"/>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666</xdr:row>
      <xdr:rowOff>0</xdr:rowOff>
    </xdr:from>
    <xdr:ext cx="152400" cy="152400"/>
    <xdr:pic>
      <xdr:nvPicPr>
        <xdr:cNvPr id="865" name="Immagine 864" descr="http://demaco.consob/ArchiflowWeb/images/indicator.gif">
          <a:extLst>
            <a:ext uri="{FF2B5EF4-FFF2-40B4-BE49-F238E27FC236}">
              <a16:creationId xmlns:a16="http://schemas.microsoft.com/office/drawing/2014/main" id="{684D54DA-D295-4CAC-BA4F-E9EB93B0967D}"/>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666</xdr:row>
      <xdr:rowOff>0</xdr:rowOff>
    </xdr:from>
    <xdr:ext cx="152400" cy="152400"/>
    <xdr:pic>
      <xdr:nvPicPr>
        <xdr:cNvPr id="866" name="Immagine 865" descr="http://demaco.consob/ArchiflowWeb/images/indicator.gif">
          <a:extLst>
            <a:ext uri="{FF2B5EF4-FFF2-40B4-BE49-F238E27FC236}">
              <a16:creationId xmlns:a16="http://schemas.microsoft.com/office/drawing/2014/main" id="{FC369606-0130-4C58-986E-8F478203DC53}"/>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666</xdr:row>
      <xdr:rowOff>0</xdr:rowOff>
    </xdr:from>
    <xdr:ext cx="152400" cy="152400"/>
    <xdr:pic>
      <xdr:nvPicPr>
        <xdr:cNvPr id="867" name="Immagine 866" descr="http://demaco.consob/ArchiflowWeb/images/indicator.gif">
          <a:extLst>
            <a:ext uri="{FF2B5EF4-FFF2-40B4-BE49-F238E27FC236}">
              <a16:creationId xmlns:a16="http://schemas.microsoft.com/office/drawing/2014/main" id="{63030972-9C1E-4345-B7F2-738991DFEE31}"/>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666</xdr:row>
      <xdr:rowOff>0</xdr:rowOff>
    </xdr:from>
    <xdr:ext cx="152400" cy="152400"/>
    <xdr:pic>
      <xdr:nvPicPr>
        <xdr:cNvPr id="868" name="Immagine 867" descr="http://demaco.consob/ArchiflowWeb/images/indicator.gif">
          <a:extLst>
            <a:ext uri="{FF2B5EF4-FFF2-40B4-BE49-F238E27FC236}">
              <a16:creationId xmlns:a16="http://schemas.microsoft.com/office/drawing/2014/main" id="{D27DA168-C253-475D-90E4-6DC923059B8D}"/>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666</xdr:row>
      <xdr:rowOff>0</xdr:rowOff>
    </xdr:from>
    <xdr:ext cx="152400" cy="152400"/>
    <xdr:pic>
      <xdr:nvPicPr>
        <xdr:cNvPr id="869" name="Immagine 868" descr="http://demaco.consob/ArchiflowWeb/images/indicator.gif">
          <a:extLst>
            <a:ext uri="{FF2B5EF4-FFF2-40B4-BE49-F238E27FC236}">
              <a16:creationId xmlns:a16="http://schemas.microsoft.com/office/drawing/2014/main" id="{A16C0196-21B9-4C9A-83B3-6DA4E33E388D}"/>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666</xdr:row>
      <xdr:rowOff>0</xdr:rowOff>
    </xdr:from>
    <xdr:ext cx="152400" cy="152400"/>
    <xdr:pic>
      <xdr:nvPicPr>
        <xdr:cNvPr id="870" name="Immagine 869" descr="http://demaco.consob/ArchiflowWeb/images/indicator.gif">
          <a:extLst>
            <a:ext uri="{FF2B5EF4-FFF2-40B4-BE49-F238E27FC236}">
              <a16:creationId xmlns:a16="http://schemas.microsoft.com/office/drawing/2014/main" id="{FE9EFEDD-729C-4550-91C3-C28038976175}"/>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666</xdr:row>
      <xdr:rowOff>0</xdr:rowOff>
    </xdr:from>
    <xdr:ext cx="152400" cy="152400"/>
    <xdr:pic>
      <xdr:nvPicPr>
        <xdr:cNvPr id="871" name="Immagine 870" descr="http://demaco.consob/ArchiflowWeb/images/indicator.gif">
          <a:extLst>
            <a:ext uri="{FF2B5EF4-FFF2-40B4-BE49-F238E27FC236}">
              <a16:creationId xmlns:a16="http://schemas.microsoft.com/office/drawing/2014/main" id="{ADC20708-198E-4FC4-9466-6E31F77DA38F}"/>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666</xdr:row>
      <xdr:rowOff>0</xdr:rowOff>
    </xdr:from>
    <xdr:ext cx="152400" cy="152400"/>
    <xdr:pic>
      <xdr:nvPicPr>
        <xdr:cNvPr id="872" name="Immagine 871" descr="http://demaco.consob/ArchiflowWeb/images/indicator.gif">
          <a:extLst>
            <a:ext uri="{FF2B5EF4-FFF2-40B4-BE49-F238E27FC236}">
              <a16:creationId xmlns:a16="http://schemas.microsoft.com/office/drawing/2014/main" id="{090F6F13-89A6-46B5-A2DE-147AC04EE631}"/>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666</xdr:row>
      <xdr:rowOff>0</xdr:rowOff>
    </xdr:from>
    <xdr:ext cx="152400" cy="152400"/>
    <xdr:pic>
      <xdr:nvPicPr>
        <xdr:cNvPr id="873" name="Immagine 872" descr="http://demaco.consob/ArchiflowWeb/images/indicator.gif">
          <a:extLst>
            <a:ext uri="{FF2B5EF4-FFF2-40B4-BE49-F238E27FC236}">
              <a16:creationId xmlns:a16="http://schemas.microsoft.com/office/drawing/2014/main" id="{B21069C5-DC49-466E-AC56-9D3573741795}"/>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666</xdr:row>
      <xdr:rowOff>0</xdr:rowOff>
    </xdr:from>
    <xdr:ext cx="152400" cy="152400"/>
    <xdr:pic>
      <xdr:nvPicPr>
        <xdr:cNvPr id="874" name="Immagine 873" descr="http://demaco.consob/ArchiflowWeb/images/indicator.gif">
          <a:extLst>
            <a:ext uri="{FF2B5EF4-FFF2-40B4-BE49-F238E27FC236}">
              <a16:creationId xmlns:a16="http://schemas.microsoft.com/office/drawing/2014/main" id="{A484CAA4-8117-44C9-B809-190049CE0DDD}"/>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666</xdr:row>
      <xdr:rowOff>0</xdr:rowOff>
    </xdr:from>
    <xdr:ext cx="152400" cy="152400"/>
    <xdr:pic>
      <xdr:nvPicPr>
        <xdr:cNvPr id="875" name="Immagine 874" descr="http://demaco.consob/ArchiflowWeb/images/indicator.gif">
          <a:extLst>
            <a:ext uri="{FF2B5EF4-FFF2-40B4-BE49-F238E27FC236}">
              <a16:creationId xmlns:a16="http://schemas.microsoft.com/office/drawing/2014/main" id="{0884B846-B4D0-4F03-B856-5C8C09E609C2}"/>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666</xdr:row>
      <xdr:rowOff>0</xdr:rowOff>
    </xdr:from>
    <xdr:ext cx="152400" cy="152400"/>
    <xdr:pic>
      <xdr:nvPicPr>
        <xdr:cNvPr id="876" name="Immagine 875" descr="http://demaco.consob/ArchiflowWeb/images/indicator.gif">
          <a:extLst>
            <a:ext uri="{FF2B5EF4-FFF2-40B4-BE49-F238E27FC236}">
              <a16:creationId xmlns:a16="http://schemas.microsoft.com/office/drawing/2014/main" id="{940009A0-E64A-4AD1-A837-6BC13D1EABE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666</xdr:row>
      <xdr:rowOff>0</xdr:rowOff>
    </xdr:from>
    <xdr:ext cx="152400" cy="152400"/>
    <xdr:pic>
      <xdr:nvPicPr>
        <xdr:cNvPr id="877" name="Immagine 876" descr="http://demaco.consob/ArchiflowWeb/images/indicator.gif">
          <a:extLst>
            <a:ext uri="{FF2B5EF4-FFF2-40B4-BE49-F238E27FC236}">
              <a16:creationId xmlns:a16="http://schemas.microsoft.com/office/drawing/2014/main" id="{111F0597-53EF-4425-A013-F335BF5A7492}"/>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666</xdr:row>
      <xdr:rowOff>0</xdr:rowOff>
    </xdr:from>
    <xdr:ext cx="152400" cy="152400"/>
    <xdr:pic>
      <xdr:nvPicPr>
        <xdr:cNvPr id="878" name="Immagine 877" descr="http://demaco.consob/ArchiflowWeb/images/indicator.gif">
          <a:extLst>
            <a:ext uri="{FF2B5EF4-FFF2-40B4-BE49-F238E27FC236}">
              <a16:creationId xmlns:a16="http://schemas.microsoft.com/office/drawing/2014/main" id="{B85B076D-4692-4EF8-905D-D39962EDA9AC}"/>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666</xdr:row>
      <xdr:rowOff>0</xdr:rowOff>
    </xdr:from>
    <xdr:ext cx="152400" cy="152400"/>
    <xdr:pic>
      <xdr:nvPicPr>
        <xdr:cNvPr id="879" name="Immagine 878" descr="http://demaco.consob/ArchiflowWeb/images/indicator.gif">
          <a:extLst>
            <a:ext uri="{FF2B5EF4-FFF2-40B4-BE49-F238E27FC236}">
              <a16:creationId xmlns:a16="http://schemas.microsoft.com/office/drawing/2014/main" id="{7FAEF28C-BB8E-40A7-9208-7D42D0E56C4B}"/>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666</xdr:row>
      <xdr:rowOff>0</xdr:rowOff>
    </xdr:from>
    <xdr:ext cx="152400" cy="152400"/>
    <xdr:pic>
      <xdr:nvPicPr>
        <xdr:cNvPr id="880" name="Immagine 879" descr="http://demaco.consob/ArchiflowWeb/images/indicator.gif">
          <a:extLst>
            <a:ext uri="{FF2B5EF4-FFF2-40B4-BE49-F238E27FC236}">
              <a16:creationId xmlns:a16="http://schemas.microsoft.com/office/drawing/2014/main" id="{C4C377F1-8F09-42EF-B719-3A58CABA92CA}"/>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666</xdr:row>
      <xdr:rowOff>0</xdr:rowOff>
    </xdr:from>
    <xdr:ext cx="152400" cy="152400"/>
    <xdr:pic>
      <xdr:nvPicPr>
        <xdr:cNvPr id="881" name="Immagine 880" descr="http://demaco.consob/ArchiflowWeb/images/indicator.gif">
          <a:extLst>
            <a:ext uri="{FF2B5EF4-FFF2-40B4-BE49-F238E27FC236}">
              <a16:creationId xmlns:a16="http://schemas.microsoft.com/office/drawing/2014/main" id="{9CE0BEDB-909D-4128-A9DD-0F07E99E9F92}"/>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666</xdr:row>
      <xdr:rowOff>0</xdr:rowOff>
    </xdr:from>
    <xdr:ext cx="152400" cy="152400"/>
    <xdr:pic>
      <xdr:nvPicPr>
        <xdr:cNvPr id="882" name="Immagine 881" descr="http://demaco.consob/ArchiflowWeb/images/indicator.gif">
          <a:extLst>
            <a:ext uri="{FF2B5EF4-FFF2-40B4-BE49-F238E27FC236}">
              <a16:creationId xmlns:a16="http://schemas.microsoft.com/office/drawing/2014/main" id="{ADEFFFAF-1A94-4285-807F-97E6EBE1140E}"/>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666</xdr:row>
      <xdr:rowOff>0</xdr:rowOff>
    </xdr:from>
    <xdr:ext cx="152400" cy="152400"/>
    <xdr:pic>
      <xdr:nvPicPr>
        <xdr:cNvPr id="883" name="Immagine 882" descr="http://demaco.consob/ArchiflowWeb/images/indicator.gif">
          <a:extLst>
            <a:ext uri="{FF2B5EF4-FFF2-40B4-BE49-F238E27FC236}">
              <a16:creationId xmlns:a16="http://schemas.microsoft.com/office/drawing/2014/main" id="{17787BF4-43D7-40DF-B6B1-68635DEE61AD}"/>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666</xdr:row>
      <xdr:rowOff>0</xdr:rowOff>
    </xdr:from>
    <xdr:ext cx="152400" cy="152400"/>
    <xdr:pic>
      <xdr:nvPicPr>
        <xdr:cNvPr id="884" name="Immagine 883" descr="http://demaco.consob/ArchiflowWeb/images/indicator.gif">
          <a:extLst>
            <a:ext uri="{FF2B5EF4-FFF2-40B4-BE49-F238E27FC236}">
              <a16:creationId xmlns:a16="http://schemas.microsoft.com/office/drawing/2014/main" id="{92CCA2F8-8631-4E93-AFF6-B63A56B23262}"/>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666</xdr:row>
      <xdr:rowOff>0</xdr:rowOff>
    </xdr:from>
    <xdr:ext cx="152400" cy="152400"/>
    <xdr:pic>
      <xdr:nvPicPr>
        <xdr:cNvPr id="885" name="Immagine 884" descr="http://demaco.consob/ArchiflowWeb/images/indicator.gif">
          <a:extLst>
            <a:ext uri="{FF2B5EF4-FFF2-40B4-BE49-F238E27FC236}">
              <a16:creationId xmlns:a16="http://schemas.microsoft.com/office/drawing/2014/main" id="{088F015F-CAD9-4DEE-966B-D06692D47654}"/>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666</xdr:row>
      <xdr:rowOff>0</xdr:rowOff>
    </xdr:from>
    <xdr:ext cx="152400" cy="152400"/>
    <xdr:pic>
      <xdr:nvPicPr>
        <xdr:cNvPr id="886" name="Immagine 885" descr="http://demaco.consob/ArchiflowWeb/images/indicator.gif">
          <a:extLst>
            <a:ext uri="{FF2B5EF4-FFF2-40B4-BE49-F238E27FC236}">
              <a16:creationId xmlns:a16="http://schemas.microsoft.com/office/drawing/2014/main" id="{5544E246-E55D-4589-ABF1-9B26F0848F5B}"/>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666</xdr:row>
      <xdr:rowOff>0</xdr:rowOff>
    </xdr:from>
    <xdr:ext cx="152400" cy="152400"/>
    <xdr:pic>
      <xdr:nvPicPr>
        <xdr:cNvPr id="887" name="Immagine 886" descr="http://demaco.consob/ArchiflowWeb/images/indicator.gif">
          <a:extLst>
            <a:ext uri="{FF2B5EF4-FFF2-40B4-BE49-F238E27FC236}">
              <a16:creationId xmlns:a16="http://schemas.microsoft.com/office/drawing/2014/main" id="{E6E66F24-AF23-4923-BBC2-D7D550E62D46}"/>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666</xdr:row>
      <xdr:rowOff>0</xdr:rowOff>
    </xdr:from>
    <xdr:ext cx="152400" cy="152400"/>
    <xdr:pic>
      <xdr:nvPicPr>
        <xdr:cNvPr id="888" name="Immagine 887" descr="http://demaco.consob/ArchiflowWeb/images/indicator.gif">
          <a:extLst>
            <a:ext uri="{FF2B5EF4-FFF2-40B4-BE49-F238E27FC236}">
              <a16:creationId xmlns:a16="http://schemas.microsoft.com/office/drawing/2014/main" id="{66EEC8B9-865F-447E-A453-76B760B83013}"/>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666</xdr:row>
      <xdr:rowOff>0</xdr:rowOff>
    </xdr:from>
    <xdr:ext cx="152400" cy="152400"/>
    <xdr:pic>
      <xdr:nvPicPr>
        <xdr:cNvPr id="889" name="Immagine 888" descr="http://demaco.consob/ArchiflowWeb/images/indicator.gif">
          <a:extLst>
            <a:ext uri="{FF2B5EF4-FFF2-40B4-BE49-F238E27FC236}">
              <a16:creationId xmlns:a16="http://schemas.microsoft.com/office/drawing/2014/main" id="{0C8A5D97-130D-49A1-9987-B266F6BA9BA9}"/>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666</xdr:row>
      <xdr:rowOff>0</xdr:rowOff>
    </xdr:from>
    <xdr:ext cx="152400" cy="152400"/>
    <xdr:pic>
      <xdr:nvPicPr>
        <xdr:cNvPr id="890" name="Immagine 889" descr="http://demaco.consob/ArchiflowWeb/images/indicator.gif">
          <a:extLst>
            <a:ext uri="{FF2B5EF4-FFF2-40B4-BE49-F238E27FC236}">
              <a16:creationId xmlns:a16="http://schemas.microsoft.com/office/drawing/2014/main" id="{E78F2DD3-BEBF-4175-9E5B-002BC9CD8FD5}"/>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666</xdr:row>
      <xdr:rowOff>0</xdr:rowOff>
    </xdr:from>
    <xdr:ext cx="152400" cy="152400"/>
    <xdr:pic>
      <xdr:nvPicPr>
        <xdr:cNvPr id="891" name="Immagine 890" descr="http://demaco.consob/ArchiflowWeb/images/indicator.gif">
          <a:extLst>
            <a:ext uri="{FF2B5EF4-FFF2-40B4-BE49-F238E27FC236}">
              <a16:creationId xmlns:a16="http://schemas.microsoft.com/office/drawing/2014/main" id="{C28B7B9A-A940-40D9-A172-9DB06E6B6F5F}"/>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666</xdr:row>
      <xdr:rowOff>0</xdr:rowOff>
    </xdr:from>
    <xdr:ext cx="152400" cy="152400"/>
    <xdr:pic>
      <xdr:nvPicPr>
        <xdr:cNvPr id="892" name="Immagine 891" descr="http://demaco.consob/ArchiflowWeb/images/indicator.gif">
          <a:extLst>
            <a:ext uri="{FF2B5EF4-FFF2-40B4-BE49-F238E27FC236}">
              <a16:creationId xmlns:a16="http://schemas.microsoft.com/office/drawing/2014/main" id="{DAADAC17-883F-4D57-B888-962EF5629D7D}"/>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666</xdr:row>
      <xdr:rowOff>0</xdr:rowOff>
    </xdr:from>
    <xdr:ext cx="152400" cy="152400"/>
    <xdr:pic>
      <xdr:nvPicPr>
        <xdr:cNvPr id="893" name="Immagine 892" descr="http://demaco.consob/ArchiflowWeb/images/indicator.gif">
          <a:extLst>
            <a:ext uri="{FF2B5EF4-FFF2-40B4-BE49-F238E27FC236}">
              <a16:creationId xmlns:a16="http://schemas.microsoft.com/office/drawing/2014/main" id="{6F53AA9B-1CE8-4663-A8B9-1A2EC40A60DC}"/>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666</xdr:row>
      <xdr:rowOff>0</xdr:rowOff>
    </xdr:from>
    <xdr:ext cx="152400" cy="152400"/>
    <xdr:pic>
      <xdr:nvPicPr>
        <xdr:cNvPr id="894" name="Immagine 893" descr="http://demaco.consob/ArchiflowWeb/images/indicator.gif">
          <a:extLst>
            <a:ext uri="{FF2B5EF4-FFF2-40B4-BE49-F238E27FC236}">
              <a16:creationId xmlns:a16="http://schemas.microsoft.com/office/drawing/2014/main" id="{F95BE097-4F4E-4F43-AAA6-2BAD5B141D91}"/>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666</xdr:row>
      <xdr:rowOff>0</xdr:rowOff>
    </xdr:from>
    <xdr:ext cx="152400" cy="152400"/>
    <xdr:pic>
      <xdr:nvPicPr>
        <xdr:cNvPr id="895" name="Immagine 894" descr="http://demaco.consob/ArchiflowWeb/images/indicator.gif">
          <a:extLst>
            <a:ext uri="{FF2B5EF4-FFF2-40B4-BE49-F238E27FC236}">
              <a16:creationId xmlns:a16="http://schemas.microsoft.com/office/drawing/2014/main" id="{36848782-0C88-4557-B989-5A4503A392CB}"/>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666</xdr:row>
      <xdr:rowOff>0</xdr:rowOff>
    </xdr:from>
    <xdr:ext cx="152400" cy="152400"/>
    <xdr:pic>
      <xdr:nvPicPr>
        <xdr:cNvPr id="896" name="Immagine 895" descr="http://demaco.consob/ArchiflowWeb/images/indicator.gif">
          <a:extLst>
            <a:ext uri="{FF2B5EF4-FFF2-40B4-BE49-F238E27FC236}">
              <a16:creationId xmlns:a16="http://schemas.microsoft.com/office/drawing/2014/main" id="{95AA3B1B-705F-4A9A-82C4-0C15D2FEC21D}"/>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666</xdr:row>
      <xdr:rowOff>0</xdr:rowOff>
    </xdr:from>
    <xdr:ext cx="152400" cy="152400"/>
    <xdr:pic>
      <xdr:nvPicPr>
        <xdr:cNvPr id="897" name="Immagine 896" descr="http://demaco.consob/ArchiflowWeb/images/indicator.gif">
          <a:extLst>
            <a:ext uri="{FF2B5EF4-FFF2-40B4-BE49-F238E27FC236}">
              <a16:creationId xmlns:a16="http://schemas.microsoft.com/office/drawing/2014/main" id="{B0EB76E6-B42F-41FD-A61C-FEEFCB85E81C}"/>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666</xdr:row>
      <xdr:rowOff>0</xdr:rowOff>
    </xdr:from>
    <xdr:ext cx="152400" cy="152400"/>
    <xdr:pic>
      <xdr:nvPicPr>
        <xdr:cNvPr id="898" name="Immagine 897" descr="http://demaco.consob/ArchiflowWeb/images/indicator.gif">
          <a:extLst>
            <a:ext uri="{FF2B5EF4-FFF2-40B4-BE49-F238E27FC236}">
              <a16:creationId xmlns:a16="http://schemas.microsoft.com/office/drawing/2014/main" id="{251A6A15-D8F1-4D90-BBD3-2B2DC1C39FDD}"/>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666</xdr:row>
      <xdr:rowOff>0</xdr:rowOff>
    </xdr:from>
    <xdr:ext cx="152400" cy="152400"/>
    <xdr:pic>
      <xdr:nvPicPr>
        <xdr:cNvPr id="899" name="Immagine 898" descr="http://demaco.consob/ArchiflowWeb/images/indicator.gif">
          <a:extLst>
            <a:ext uri="{FF2B5EF4-FFF2-40B4-BE49-F238E27FC236}">
              <a16:creationId xmlns:a16="http://schemas.microsoft.com/office/drawing/2014/main" id="{B94CCD74-D478-4554-91E2-23D1C81E82BA}"/>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666</xdr:row>
      <xdr:rowOff>0</xdr:rowOff>
    </xdr:from>
    <xdr:ext cx="152400" cy="152400"/>
    <xdr:pic>
      <xdr:nvPicPr>
        <xdr:cNvPr id="900" name="Immagine 899" descr="http://demaco.consob/ArchiflowWeb/images/indicator.gif">
          <a:extLst>
            <a:ext uri="{FF2B5EF4-FFF2-40B4-BE49-F238E27FC236}">
              <a16:creationId xmlns:a16="http://schemas.microsoft.com/office/drawing/2014/main" id="{C2557A8E-1361-4F5C-82E0-93E88D71F936}"/>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666</xdr:row>
      <xdr:rowOff>0</xdr:rowOff>
    </xdr:from>
    <xdr:ext cx="152400" cy="152400"/>
    <xdr:pic>
      <xdr:nvPicPr>
        <xdr:cNvPr id="901" name="Immagine 900" descr="http://demaco.consob/ArchiflowWeb/images/indicator.gif">
          <a:extLst>
            <a:ext uri="{FF2B5EF4-FFF2-40B4-BE49-F238E27FC236}">
              <a16:creationId xmlns:a16="http://schemas.microsoft.com/office/drawing/2014/main" id="{0F41DEDC-5C85-49B0-B33F-76CF5D7099F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666</xdr:row>
      <xdr:rowOff>0</xdr:rowOff>
    </xdr:from>
    <xdr:ext cx="152400" cy="152400"/>
    <xdr:pic>
      <xdr:nvPicPr>
        <xdr:cNvPr id="902" name="Immagine 901" descr="http://demaco.consob/ArchiflowWeb/images/indicator.gif">
          <a:extLst>
            <a:ext uri="{FF2B5EF4-FFF2-40B4-BE49-F238E27FC236}">
              <a16:creationId xmlns:a16="http://schemas.microsoft.com/office/drawing/2014/main" id="{CA150375-85CE-406C-8390-233785943B6A}"/>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666</xdr:row>
      <xdr:rowOff>0</xdr:rowOff>
    </xdr:from>
    <xdr:ext cx="152400" cy="152400"/>
    <xdr:pic>
      <xdr:nvPicPr>
        <xdr:cNvPr id="903" name="Immagine 902" descr="http://demaco.consob/ArchiflowWeb/images/indicator.gif">
          <a:extLst>
            <a:ext uri="{FF2B5EF4-FFF2-40B4-BE49-F238E27FC236}">
              <a16:creationId xmlns:a16="http://schemas.microsoft.com/office/drawing/2014/main" id="{37E72FAE-26F5-46E8-96D6-1E5D520DABA3}"/>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666</xdr:row>
      <xdr:rowOff>0</xdr:rowOff>
    </xdr:from>
    <xdr:ext cx="152400" cy="152400"/>
    <xdr:pic>
      <xdr:nvPicPr>
        <xdr:cNvPr id="904" name="Immagine 903" descr="http://demaco.consob/ArchiflowWeb/images/indicator.gif">
          <a:extLst>
            <a:ext uri="{FF2B5EF4-FFF2-40B4-BE49-F238E27FC236}">
              <a16:creationId xmlns:a16="http://schemas.microsoft.com/office/drawing/2014/main" id="{1F890312-2082-40C8-9C53-3ECFC3CC38B4}"/>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666</xdr:row>
      <xdr:rowOff>0</xdr:rowOff>
    </xdr:from>
    <xdr:ext cx="152400" cy="152400"/>
    <xdr:pic>
      <xdr:nvPicPr>
        <xdr:cNvPr id="905" name="Immagine 904" descr="http://demaco.consob/ArchiflowWeb/images/indicator.gif">
          <a:extLst>
            <a:ext uri="{FF2B5EF4-FFF2-40B4-BE49-F238E27FC236}">
              <a16:creationId xmlns:a16="http://schemas.microsoft.com/office/drawing/2014/main" id="{13CB463B-14E7-4328-A81C-3A40437DC5F5}"/>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666</xdr:row>
      <xdr:rowOff>0</xdr:rowOff>
    </xdr:from>
    <xdr:ext cx="152400" cy="152400"/>
    <xdr:pic>
      <xdr:nvPicPr>
        <xdr:cNvPr id="906" name="Immagine 905" descr="http://demaco.consob/ArchiflowWeb/images/indicator.gif">
          <a:extLst>
            <a:ext uri="{FF2B5EF4-FFF2-40B4-BE49-F238E27FC236}">
              <a16:creationId xmlns:a16="http://schemas.microsoft.com/office/drawing/2014/main" id="{E1E9BF17-9713-43ED-885E-2097D2464F0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666</xdr:row>
      <xdr:rowOff>0</xdr:rowOff>
    </xdr:from>
    <xdr:ext cx="152400" cy="152400"/>
    <xdr:pic>
      <xdr:nvPicPr>
        <xdr:cNvPr id="907" name="Immagine 906" descr="http://demaco.consob/ArchiflowWeb/images/indicator.gif">
          <a:extLst>
            <a:ext uri="{FF2B5EF4-FFF2-40B4-BE49-F238E27FC236}">
              <a16:creationId xmlns:a16="http://schemas.microsoft.com/office/drawing/2014/main" id="{4C5E2A7E-C567-4017-ACA7-D192217D06E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666</xdr:row>
      <xdr:rowOff>0</xdr:rowOff>
    </xdr:from>
    <xdr:ext cx="152400" cy="152400"/>
    <xdr:pic>
      <xdr:nvPicPr>
        <xdr:cNvPr id="908" name="Immagine 907" descr="http://demaco.consob/ArchiflowWeb/images/indicator.gif">
          <a:extLst>
            <a:ext uri="{FF2B5EF4-FFF2-40B4-BE49-F238E27FC236}">
              <a16:creationId xmlns:a16="http://schemas.microsoft.com/office/drawing/2014/main" id="{1D946A4E-DD7D-40BF-9FAB-C2702FEC470E}"/>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666</xdr:row>
      <xdr:rowOff>0</xdr:rowOff>
    </xdr:from>
    <xdr:ext cx="152400" cy="152400"/>
    <xdr:pic>
      <xdr:nvPicPr>
        <xdr:cNvPr id="909" name="Immagine 908" descr="http://demaco.consob/ArchiflowWeb/images/indicator.gif">
          <a:extLst>
            <a:ext uri="{FF2B5EF4-FFF2-40B4-BE49-F238E27FC236}">
              <a16:creationId xmlns:a16="http://schemas.microsoft.com/office/drawing/2014/main" id="{FBFC4544-F05E-4A68-A865-4827A315F98F}"/>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666</xdr:row>
      <xdr:rowOff>0</xdr:rowOff>
    </xdr:from>
    <xdr:ext cx="152400" cy="152400"/>
    <xdr:pic>
      <xdr:nvPicPr>
        <xdr:cNvPr id="910" name="Immagine 909" descr="http://demaco.consob/ArchiflowWeb/images/indicator.gif">
          <a:extLst>
            <a:ext uri="{FF2B5EF4-FFF2-40B4-BE49-F238E27FC236}">
              <a16:creationId xmlns:a16="http://schemas.microsoft.com/office/drawing/2014/main" id="{AFAECA8E-EABF-431C-B74F-83D5368D91FE}"/>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666</xdr:row>
      <xdr:rowOff>0</xdr:rowOff>
    </xdr:from>
    <xdr:ext cx="152400" cy="152400"/>
    <xdr:pic>
      <xdr:nvPicPr>
        <xdr:cNvPr id="911" name="Immagine 910" descr="http://demaco.consob/ArchiflowWeb/images/indicator.gif">
          <a:extLst>
            <a:ext uri="{FF2B5EF4-FFF2-40B4-BE49-F238E27FC236}">
              <a16:creationId xmlns:a16="http://schemas.microsoft.com/office/drawing/2014/main" id="{FED807CC-F9BB-40CB-A759-D4422EFD5ED7}"/>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666</xdr:row>
      <xdr:rowOff>0</xdr:rowOff>
    </xdr:from>
    <xdr:ext cx="152400" cy="152400"/>
    <xdr:pic>
      <xdr:nvPicPr>
        <xdr:cNvPr id="912" name="Immagine 911" descr="http://demaco.consob/ArchiflowWeb/images/indicator.gif">
          <a:extLst>
            <a:ext uri="{FF2B5EF4-FFF2-40B4-BE49-F238E27FC236}">
              <a16:creationId xmlns:a16="http://schemas.microsoft.com/office/drawing/2014/main" id="{3E2BA34C-C4FE-43DA-8511-A51C2387892F}"/>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666</xdr:row>
      <xdr:rowOff>0</xdr:rowOff>
    </xdr:from>
    <xdr:ext cx="152400" cy="152400"/>
    <xdr:pic>
      <xdr:nvPicPr>
        <xdr:cNvPr id="913" name="Immagine 912" descr="http://demaco.consob/ArchiflowWeb/images/indicator.gif">
          <a:extLst>
            <a:ext uri="{FF2B5EF4-FFF2-40B4-BE49-F238E27FC236}">
              <a16:creationId xmlns:a16="http://schemas.microsoft.com/office/drawing/2014/main" id="{A2C52CEC-3FD6-4B47-AF48-6E6979D8FF2C}"/>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666</xdr:row>
      <xdr:rowOff>0</xdr:rowOff>
    </xdr:from>
    <xdr:ext cx="152400" cy="152400"/>
    <xdr:pic>
      <xdr:nvPicPr>
        <xdr:cNvPr id="914" name="Immagine 913" descr="http://demaco.consob/ArchiflowWeb/images/indicator.gif">
          <a:extLst>
            <a:ext uri="{FF2B5EF4-FFF2-40B4-BE49-F238E27FC236}">
              <a16:creationId xmlns:a16="http://schemas.microsoft.com/office/drawing/2014/main" id="{A38D61C8-04B5-4A13-B956-F1FA30D5334C}"/>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666</xdr:row>
      <xdr:rowOff>0</xdr:rowOff>
    </xdr:from>
    <xdr:ext cx="152400" cy="152400"/>
    <xdr:pic>
      <xdr:nvPicPr>
        <xdr:cNvPr id="915" name="Immagine 914" descr="http://demaco.consob/ArchiflowWeb/images/indicator.gif">
          <a:extLst>
            <a:ext uri="{FF2B5EF4-FFF2-40B4-BE49-F238E27FC236}">
              <a16:creationId xmlns:a16="http://schemas.microsoft.com/office/drawing/2014/main" id="{4AD69F47-ADB3-4064-AEB7-0658CE131826}"/>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666</xdr:row>
      <xdr:rowOff>0</xdr:rowOff>
    </xdr:from>
    <xdr:ext cx="152400" cy="152400"/>
    <xdr:pic>
      <xdr:nvPicPr>
        <xdr:cNvPr id="916" name="Immagine 915" descr="http://demaco.consob/ArchiflowWeb/images/indicator.gif">
          <a:extLst>
            <a:ext uri="{FF2B5EF4-FFF2-40B4-BE49-F238E27FC236}">
              <a16:creationId xmlns:a16="http://schemas.microsoft.com/office/drawing/2014/main" id="{9DF534CA-701A-4080-9E95-E440653F3E59}"/>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666</xdr:row>
      <xdr:rowOff>0</xdr:rowOff>
    </xdr:from>
    <xdr:ext cx="152400" cy="152400"/>
    <xdr:pic>
      <xdr:nvPicPr>
        <xdr:cNvPr id="917" name="Immagine 916" descr="http://demaco.consob/ArchiflowWeb/images/indicator.gif">
          <a:extLst>
            <a:ext uri="{FF2B5EF4-FFF2-40B4-BE49-F238E27FC236}">
              <a16:creationId xmlns:a16="http://schemas.microsoft.com/office/drawing/2014/main" id="{0D3ABE18-62FB-475E-8FB6-6BD610CF3B63}"/>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666</xdr:row>
      <xdr:rowOff>0</xdr:rowOff>
    </xdr:from>
    <xdr:ext cx="152400" cy="152400"/>
    <xdr:pic>
      <xdr:nvPicPr>
        <xdr:cNvPr id="918" name="Immagine 917" descr="http://demaco.consob/ArchiflowWeb/images/indicator.gif">
          <a:extLst>
            <a:ext uri="{FF2B5EF4-FFF2-40B4-BE49-F238E27FC236}">
              <a16:creationId xmlns:a16="http://schemas.microsoft.com/office/drawing/2014/main" id="{DDCD53FA-E9C7-46BC-B2C9-717A567FDA65}"/>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666</xdr:row>
      <xdr:rowOff>0</xdr:rowOff>
    </xdr:from>
    <xdr:ext cx="152400" cy="152400"/>
    <xdr:pic>
      <xdr:nvPicPr>
        <xdr:cNvPr id="919" name="Immagine 918" descr="http://demaco.consob/ArchiflowWeb/images/indicator.gif">
          <a:extLst>
            <a:ext uri="{FF2B5EF4-FFF2-40B4-BE49-F238E27FC236}">
              <a16:creationId xmlns:a16="http://schemas.microsoft.com/office/drawing/2014/main" id="{7763D772-37B7-43C1-A2C2-DFA5234D3836}"/>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666</xdr:row>
      <xdr:rowOff>0</xdr:rowOff>
    </xdr:from>
    <xdr:ext cx="152400" cy="152400"/>
    <xdr:pic>
      <xdr:nvPicPr>
        <xdr:cNvPr id="920" name="Immagine 919" descr="http://demaco.consob/ArchiflowWeb/images/indicator.gif">
          <a:extLst>
            <a:ext uri="{FF2B5EF4-FFF2-40B4-BE49-F238E27FC236}">
              <a16:creationId xmlns:a16="http://schemas.microsoft.com/office/drawing/2014/main" id="{6DAD4E49-85C8-405E-9011-8DB47821245D}"/>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666</xdr:row>
      <xdr:rowOff>0</xdr:rowOff>
    </xdr:from>
    <xdr:ext cx="152400" cy="152400"/>
    <xdr:pic>
      <xdr:nvPicPr>
        <xdr:cNvPr id="921" name="Immagine 920" descr="http://demaco.consob/ArchiflowWeb/images/indicator.gif">
          <a:extLst>
            <a:ext uri="{FF2B5EF4-FFF2-40B4-BE49-F238E27FC236}">
              <a16:creationId xmlns:a16="http://schemas.microsoft.com/office/drawing/2014/main" id="{2D132A13-EB3C-4538-8533-2A42F8A558AC}"/>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666</xdr:row>
      <xdr:rowOff>0</xdr:rowOff>
    </xdr:from>
    <xdr:ext cx="152400" cy="152400"/>
    <xdr:pic>
      <xdr:nvPicPr>
        <xdr:cNvPr id="922" name="Immagine 921" descr="http://demaco.consob/ArchiflowWeb/images/indicator.gif">
          <a:extLst>
            <a:ext uri="{FF2B5EF4-FFF2-40B4-BE49-F238E27FC236}">
              <a16:creationId xmlns:a16="http://schemas.microsoft.com/office/drawing/2014/main" id="{0C56BB66-D6B0-40D8-B5B3-4FDEE5AD3B3C}"/>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666</xdr:row>
      <xdr:rowOff>0</xdr:rowOff>
    </xdr:from>
    <xdr:ext cx="152400" cy="152400"/>
    <xdr:pic>
      <xdr:nvPicPr>
        <xdr:cNvPr id="923" name="Immagine 922" descr="http://demaco.consob/ArchiflowWeb/images/indicator.gif">
          <a:extLst>
            <a:ext uri="{FF2B5EF4-FFF2-40B4-BE49-F238E27FC236}">
              <a16:creationId xmlns:a16="http://schemas.microsoft.com/office/drawing/2014/main" id="{5DD689F5-4745-4F5F-8699-F9AF93AD99DA}"/>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666</xdr:row>
      <xdr:rowOff>0</xdr:rowOff>
    </xdr:from>
    <xdr:ext cx="152400" cy="152400"/>
    <xdr:pic>
      <xdr:nvPicPr>
        <xdr:cNvPr id="924" name="Immagine 923" descr="http://demaco.consob/ArchiflowWeb/images/indicator.gif">
          <a:extLst>
            <a:ext uri="{FF2B5EF4-FFF2-40B4-BE49-F238E27FC236}">
              <a16:creationId xmlns:a16="http://schemas.microsoft.com/office/drawing/2014/main" id="{5248C866-57B0-4051-8111-529333868EDE}"/>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666</xdr:row>
      <xdr:rowOff>0</xdr:rowOff>
    </xdr:from>
    <xdr:ext cx="152400" cy="152400"/>
    <xdr:pic>
      <xdr:nvPicPr>
        <xdr:cNvPr id="925" name="Immagine 924" descr="http://demaco.consob/ArchiflowWeb/images/indicator.gif">
          <a:extLst>
            <a:ext uri="{FF2B5EF4-FFF2-40B4-BE49-F238E27FC236}">
              <a16:creationId xmlns:a16="http://schemas.microsoft.com/office/drawing/2014/main" id="{F8DAAD9D-60C6-4060-B848-C77D08F2F21C}"/>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666</xdr:row>
      <xdr:rowOff>0</xdr:rowOff>
    </xdr:from>
    <xdr:ext cx="152400" cy="152400"/>
    <xdr:pic>
      <xdr:nvPicPr>
        <xdr:cNvPr id="926" name="Immagine 925" descr="http://demaco.consob/ArchiflowWeb/images/indicator.gif">
          <a:extLst>
            <a:ext uri="{FF2B5EF4-FFF2-40B4-BE49-F238E27FC236}">
              <a16:creationId xmlns:a16="http://schemas.microsoft.com/office/drawing/2014/main" id="{A8C4FD8F-67E8-4A5A-A672-56743D7FC914}"/>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666</xdr:row>
      <xdr:rowOff>0</xdr:rowOff>
    </xdr:from>
    <xdr:ext cx="152400" cy="152400"/>
    <xdr:pic>
      <xdr:nvPicPr>
        <xdr:cNvPr id="927" name="Immagine 926" descr="http://demaco.consob/ArchiflowWeb/images/indicator.gif">
          <a:extLst>
            <a:ext uri="{FF2B5EF4-FFF2-40B4-BE49-F238E27FC236}">
              <a16:creationId xmlns:a16="http://schemas.microsoft.com/office/drawing/2014/main" id="{DD8D0C06-6D34-404D-B8F6-C792C1278012}"/>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666</xdr:row>
      <xdr:rowOff>0</xdr:rowOff>
    </xdr:from>
    <xdr:ext cx="152400" cy="152400"/>
    <xdr:pic>
      <xdr:nvPicPr>
        <xdr:cNvPr id="928" name="Immagine 927" descr="http://demaco.consob/ArchiflowWeb/images/indicator.gif">
          <a:extLst>
            <a:ext uri="{FF2B5EF4-FFF2-40B4-BE49-F238E27FC236}">
              <a16:creationId xmlns:a16="http://schemas.microsoft.com/office/drawing/2014/main" id="{6A1380F8-E2F3-44A9-BCFD-550ADA916671}"/>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666</xdr:row>
      <xdr:rowOff>0</xdr:rowOff>
    </xdr:from>
    <xdr:ext cx="152400" cy="152400"/>
    <xdr:pic>
      <xdr:nvPicPr>
        <xdr:cNvPr id="929" name="Immagine 928" descr="http://demaco.consob/ArchiflowWeb/images/indicator.gif">
          <a:extLst>
            <a:ext uri="{FF2B5EF4-FFF2-40B4-BE49-F238E27FC236}">
              <a16:creationId xmlns:a16="http://schemas.microsoft.com/office/drawing/2014/main" id="{A92DF4B8-67B0-48FF-8315-38B9AA18388E}"/>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666</xdr:row>
      <xdr:rowOff>0</xdr:rowOff>
    </xdr:from>
    <xdr:ext cx="152400" cy="152400"/>
    <xdr:pic>
      <xdr:nvPicPr>
        <xdr:cNvPr id="930" name="Immagine 929" descr="http://demaco.consob/ArchiflowWeb/images/indicator.gif">
          <a:extLst>
            <a:ext uri="{FF2B5EF4-FFF2-40B4-BE49-F238E27FC236}">
              <a16:creationId xmlns:a16="http://schemas.microsoft.com/office/drawing/2014/main" id="{F23291EA-1B4A-4D60-BB9A-AA1F0A0CA3E7}"/>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666</xdr:row>
      <xdr:rowOff>0</xdr:rowOff>
    </xdr:from>
    <xdr:ext cx="152400" cy="152400"/>
    <xdr:pic>
      <xdr:nvPicPr>
        <xdr:cNvPr id="931" name="Immagine 930" descr="http://demaco.consob/ArchiflowWeb/images/indicator.gif">
          <a:extLst>
            <a:ext uri="{FF2B5EF4-FFF2-40B4-BE49-F238E27FC236}">
              <a16:creationId xmlns:a16="http://schemas.microsoft.com/office/drawing/2014/main" id="{5571E505-C428-482F-9C4C-4D7F41C400FB}"/>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666</xdr:row>
      <xdr:rowOff>0</xdr:rowOff>
    </xdr:from>
    <xdr:ext cx="152400" cy="152400"/>
    <xdr:pic>
      <xdr:nvPicPr>
        <xdr:cNvPr id="932" name="Immagine 931" descr="http://demaco.consob/ArchiflowWeb/images/indicator.gif">
          <a:extLst>
            <a:ext uri="{FF2B5EF4-FFF2-40B4-BE49-F238E27FC236}">
              <a16:creationId xmlns:a16="http://schemas.microsoft.com/office/drawing/2014/main" id="{720538C6-DF99-4990-B2D2-EEA4A86F6D3E}"/>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666</xdr:row>
      <xdr:rowOff>0</xdr:rowOff>
    </xdr:from>
    <xdr:ext cx="152400" cy="152400"/>
    <xdr:pic>
      <xdr:nvPicPr>
        <xdr:cNvPr id="933" name="Immagine 932" descr="http://demaco.consob/ArchiflowWeb/images/indicator.gif">
          <a:extLst>
            <a:ext uri="{FF2B5EF4-FFF2-40B4-BE49-F238E27FC236}">
              <a16:creationId xmlns:a16="http://schemas.microsoft.com/office/drawing/2014/main" id="{9E9428BC-F5CD-4145-9277-A74385857304}"/>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666</xdr:row>
      <xdr:rowOff>0</xdr:rowOff>
    </xdr:from>
    <xdr:ext cx="152400" cy="152400"/>
    <xdr:pic>
      <xdr:nvPicPr>
        <xdr:cNvPr id="934" name="Immagine 933" descr="http://demaco.consob/ArchiflowWeb/images/indicator.gif">
          <a:extLst>
            <a:ext uri="{FF2B5EF4-FFF2-40B4-BE49-F238E27FC236}">
              <a16:creationId xmlns:a16="http://schemas.microsoft.com/office/drawing/2014/main" id="{704AFCAA-2AE7-4835-BC23-22EA6CE4518C}"/>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666</xdr:row>
      <xdr:rowOff>0</xdr:rowOff>
    </xdr:from>
    <xdr:ext cx="152400" cy="152400"/>
    <xdr:pic>
      <xdr:nvPicPr>
        <xdr:cNvPr id="935" name="Immagine 934" descr="http://demaco.consob/ArchiflowWeb/images/indicator.gif">
          <a:extLst>
            <a:ext uri="{FF2B5EF4-FFF2-40B4-BE49-F238E27FC236}">
              <a16:creationId xmlns:a16="http://schemas.microsoft.com/office/drawing/2014/main" id="{243B37F4-14DA-4787-A19C-63C639B18B7B}"/>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666</xdr:row>
      <xdr:rowOff>0</xdr:rowOff>
    </xdr:from>
    <xdr:ext cx="152400" cy="152400"/>
    <xdr:pic>
      <xdr:nvPicPr>
        <xdr:cNvPr id="936" name="Immagine 935" descr="http://demaco.consob/ArchiflowWeb/images/indicator.gif">
          <a:extLst>
            <a:ext uri="{FF2B5EF4-FFF2-40B4-BE49-F238E27FC236}">
              <a16:creationId xmlns:a16="http://schemas.microsoft.com/office/drawing/2014/main" id="{5EAB1B8F-1D72-4263-86D2-5B5B8328AC6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666</xdr:row>
      <xdr:rowOff>0</xdr:rowOff>
    </xdr:from>
    <xdr:ext cx="152400" cy="152400"/>
    <xdr:pic>
      <xdr:nvPicPr>
        <xdr:cNvPr id="937" name="Immagine 936" descr="http://demaco.consob/ArchiflowWeb/images/indicator.gif">
          <a:extLst>
            <a:ext uri="{FF2B5EF4-FFF2-40B4-BE49-F238E27FC236}">
              <a16:creationId xmlns:a16="http://schemas.microsoft.com/office/drawing/2014/main" id="{B2E3E427-4030-4F34-B6EB-76A848A7889F}"/>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666</xdr:row>
      <xdr:rowOff>0</xdr:rowOff>
    </xdr:from>
    <xdr:ext cx="152400" cy="152400"/>
    <xdr:pic>
      <xdr:nvPicPr>
        <xdr:cNvPr id="938" name="Immagine 937" descr="http://demaco.consob/ArchiflowWeb/images/indicator.gif">
          <a:extLst>
            <a:ext uri="{FF2B5EF4-FFF2-40B4-BE49-F238E27FC236}">
              <a16:creationId xmlns:a16="http://schemas.microsoft.com/office/drawing/2014/main" id="{3A3ABD2C-96E2-4066-8C54-E805AB4B4BC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666</xdr:row>
      <xdr:rowOff>0</xdr:rowOff>
    </xdr:from>
    <xdr:ext cx="152400" cy="152400"/>
    <xdr:pic>
      <xdr:nvPicPr>
        <xdr:cNvPr id="939" name="Immagine 938" descr="http://demaco.consob/ArchiflowWeb/images/indicator.gif">
          <a:extLst>
            <a:ext uri="{FF2B5EF4-FFF2-40B4-BE49-F238E27FC236}">
              <a16:creationId xmlns:a16="http://schemas.microsoft.com/office/drawing/2014/main" id="{F9399F07-15A4-4C19-968B-A7196BCD929F}"/>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666</xdr:row>
      <xdr:rowOff>0</xdr:rowOff>
    </xdr:from>
    <xdr:ext cx="152400" cy="152400"/>
    <xdr:pic>
      <xdr:nvPicPr>
        <xdr:cNvPr id="940" name="Immagine 939" descr="http://demaco.consob/ArchiflowWeb/images/indicator.gif">
          <a:extLst>
            <a:ext uri="{FF2B5EF4-FFF2-40B4-BE49-F238E27FC236}">
              <a16:creationId xmlns:a16="http://schemas.microsoft.com/office/drawing/2014/main" id="{48589A0A-DA54-400D-AF01-3518B5A272E5}"/>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666</xdr:row>
      <xdr:rowOff>0</xdr:rowOff>
    </xdr:from>
    <xdr:ext cx="152400" cy="152400"/>
    <xdr:pic>
      <xdr:nvPicPr>
        <xdr:cNvPr id="941" name="Immagine 940" descr="http://demaco.consob/ArchiflowWeb/images/indicator.gif">
          <a:extLst>
            <a:ext uri="{FF2B5EF4-FFF2-40B4-BE49-F238E27FC236}">
              <a16:creationId xmlns:a16="http://schemas.microsoft.com/office/drawing/2014/main" id="{176DD51B-6B9E-43F6-B424-B9186F4C12A1}"/>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666</xdr:row>
      <xdr:rowOff>0</xdr:rowOff>
    </xdr:from>
    <xdr:ext cx="152400" cy="152400"/>
    <xdr:pic>
      <xdr:nvPicPr>
        <xdr:cNvPr id="942" name="Immagine 941" descr="http://demaco.consob/ArchiflowWeb/images/indicator.gif">
          <a:extLst>
            <a:ext uri="{FF2B5EF4-FFF2-40B4-BE49-F238E27FC236}">
              <a16:creationId xmlns:a16="http://schemas.microsoft.com/office/drawing/2014/main" id="{C9D48BF4-618F-4873-9B64-E2CF4AABBE7D}"/>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666</xdr:row>
      <xdr:rowOff>0</xdr:rowOff>
    </xdr:from>
    <xdr:ext cx="152400" cy="152400"/>
    <xdr:pic>
      <xdr:nvPicPr>
        <xdr:cNvPr id="943" name="Immagine 942" descr="http://demaco.consob/ArchiflowWeb/images/indicator.gif">
          <a:extLst>
            <a:ext uri="{FF2B5EF4-FFF2-40B4-BE49-F238E27FC236}">
              <a16:creationId xmlns:a16="http://schemas.microsoft.com/office/drawing/2014/main" id="{F4B5366D-8A14-446C-AE20-28496EEDAC54}"/>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666</xdr:row>
      <xdr:rowOff>0</xdr:rowOff>
    </xdr:from>
    <xdr:ext cx="152400" cy="152400"/>
    <xdr:pic>
      <xdr:nvPicPr>
        <xdr:cNvPr id="944" name="Immagine 943" descr="http://demaco.consob/ArchiflowWeb/images/indicator.gif">
          <a:extLst>
            <a:ext uri="{FF2B5EF4-FFF2-40B4-BE49-F238E27FC236}">
              <a16:creationId xmlns:a16="http://schemas.microsoft.com/office/drawing/2014/main" id="{512E35F9-3908-4062-939F-7403D5DAF6D1}"/>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666</xdr:row>
      <xdr:rowOff>0</xdr:rowOff>
    </xdr:from>
    <xdr:ext cx="152400" cy="152400"/>
    <xdr:pic>
      <xdr:nvPicPr>
        <xdr:cNvPr id="945" name="Immagine 944" descr="http://demaco.consob/ArchiflowWeb/images/indicator.gif">
          <a:extLst>
            <a:ext uri="{FF2B5EF4-FFF2-40B4-BE49-F238E27FC236}">
              <a16:creationId xmlns:a16="http://schemas.microsoft.com/office/drawing/2014/main" id="{409A8893-5DFF-4211-B48A-E7093238DDF5}"/>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666</xdr:row>
      <xdr:rowOff>0</xdr:rowOff>
    </xdr:from>
    <xdr:ext cx="152400" cy="152400"/>
    <xdr:pic>
      <xdr:nvPicPr>
        <xdr:cNvPr id="946" name="Immagine 945" descr="http://demaco.consob/ArchiflowWeb/images/indicator.gif">
          <a:extLst>
            <a:ext uri="{FF2B5EF4-FFF2-40B4-BE49-F238E27FC236}">
              <a16:creationId xmlns:a16="http://schemas.microsoft.com/office/drawing/2014/main" id="{683AB2B6-D5F6-4D6B-9A59-637B8086591B}"/>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666</xdr:row>
      <xdr:rowOff>0</xdr:rowOff>
    </xdr:from>
    <xdr:ext cx="152400" cy="152400"/>
    <xdr:pic>
      <xdr:nvPicPr>
        <xdr:cNvPr id="947" name="Immagine 946" descr="http://demaco.consob/ArchiflowWeb/images/indicator.gif">
          <a:extLst>
            <a:ext uri="{FF2B5EF4-FFF2-40B4-BE49-F238E27FC236}">
              <a16:creationId xmlns:a16="http://schemas.microsoft.com/office/drawing/2014/main" id="{84BDAF47-D3AB-4299-B54E-E435A523A1E9}"/>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666</xdr:row>
      <xdr:rowOff>0</xdr:rowOff>
    </xdr:from>
    <xdr:ext cx="152400" cy="152400"/>
    <xdr:pic>
      <xdr:nvPicPr>
        <xdr:cNvPr id="948" name="Immagine 947" descr="http://demaco.consob/ArchiflowWeb/images/indicator.gif">
          <a:extLst>
            <a:ext uri="{FF2B5EF4-FFF2-40B4-BE49-F238E27FC236}">
              <a16:creationId xmlns:a16="http://schemas.microsoft.com/office/drawing/2014/main" id="{066D08EB-3FBC-449B-8614-516727A5F966}"/>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666</xdr:row>
      <xdr:rowOff>0</xdr:rowOff>
    </xdr:from>
    <xdr:ext cx="152400" cy="152400"/>
    <xdr:pic>
      <xdr:nvPicPr>
        <xdr:cNvPr id="949" name="Immagine 948" descr="http://demaco.consob/ArchiflowWeb/images/indicator.gif">
          <a:extLst>
            <a:ext uri="{FF2B5EF4-FFF2-40B4-BE49-F238E27FC236}">
              <a16:creationId xmlns:a16="http://schemas.microsoft.com/office/drawing/2014/main" id="{EC32663E-4EA5-4191-B62C-1C52F65BB18C}"/>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666</xdr:row>
      <xdr:rowOff>0</xdr:rowOff>
    </xdr:from>
    <xdr:ext cx="152400" cy="152400"/>
    <xdr:pic>
      <xdr:nvPicPr>
        <xdr:cNvPr id="950" name="Immagine 949" descr="http://demaco.consob/ArchiflowWeb/images/indicator.gif">
          <a:extLst>
            <a:ext uri="{FF2B5EF4-FFF2-40B4-BE49-F238E27FC236}">
              <a16:creationId xmlns:a16="http://schemas.microsoft.com/office/drawing/2014/main" id="{01E3A9CD-36A5-46E4-A842-4350F233DABC}"/>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666</xdr:row>
      <xdr:rowOff>0</xdr:rowOff>
    </xdr:from>
    <xdr:ext cx="152400" cy="152400"/>
    <xdr:pic>
      <xdr:nvPicPr>
        <xdr:cNvPr id="951" name="Immagine 950" descr="http://demaco.consob/ArchiflowWeb/images/indicator.gif">
          <a:extLst>
            <a:ext uri="{FF2B5EF4-FFF2-40B4-BE49-F238E27FC236}">
              <a16:creationId xmlns:a16="http://schemas.microsoft.com/office/drawing/2014/main" id="{FE74E5F4-6A28-437E-B317-0528E23C64E2}"/>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666</xdr:row>
      <xdr:rowOff>0</xdr:rowOff>
    </xdr:from>
    <xdr:ext cx="152400" cy="152400"/>
    <xdr:pic>
      <xdr:nvPicPr>
        <xdr:cNvPr id="952" name="Immagine 951" descr="http://demaco.consob/ArchiflowWeb/images/indicator.gif">
          <a:extLst>
            <a:ext uri="{FF2B5EF4-FFF2-40B4-BE49-F238E27FC236}">
              <a16:creationId xmlns:a16="http://schemas.microsoft.com/office/drawing/2014/main" id="{FDC7BA1E-60FC-4199-8248-9F60B9CBC41C}"/>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666</xdr:row>
      <xdr:rowOff>0</xdr:rowOff>
    </xdr:from>
    <xdr:ext cx="152400" cy="152400"/>
    <xdr:pic>
      <xdr:nvPicPr>
        <xdr:cNvPr id="953" name="Immagine 952" descr="http://demaco.consob/ArchiflowWeb/images/indicator.gif">
          <a:extLst>
            <a:ext uri="{FF2B5EF4-FFF2-40B4-BE49-F238E27FC236}">
              <a16:creationId xmlns:a16="http://schemas.microsoft.com/office/drawing/2014/main" id="{0B9623EF-BB21-450C-8205-C3FE3E23D0B1}"/>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666</xdr:row>
      <xdr:rowOff>0</xdr:rowOff>
    </xdr:from>
    <xdr:ext cx="152400" cy="152400"/>
    <xdr:pic>
      <xdr:nvPicPr>
        <xdr:cNvPr id="954" name="Immagine 953" descr="http://demaco.consob/ArchiflowWeb/images/indicator.gif">
          <a:extLst>
            <a:ext uri="{FF2B5EF4-FFF2-40B4-BE49-F238E27FC236}">
              <a16:creationId xmlns:a16="http://schemas.microsoft.com/office/drawing/2014/main" id="{97EA5F65-1DC7-414E-A497-C0B61DD8158C}"/>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666</xdr:row>
      <xdr:rowOff>0</xdr:rowOff>
    </xdr:from>
    <xdr:ext cx="152400" cy="152400"/>
    <xdr:pic>
      <xdr:nvPicPr>
        <xdr:cNvPr id="955" name="Immagine 954" descr="http://demaco.consob/ArchiflowWeb/images/indicator.gif">
          <a:extLst>
            <a:ext uri="{FF2B5EF4-FFF2-40B4-BE49-F238E27FC236}">
              <a16:creationId xmlns:a16="http://schemas.microsoft.com/office/drawing/2014/main" id="{315BED4C-7E85-42F3-A4B4-D197B1317006}"/>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666</xdr:row>
      <xdr:rowOff>0</xdr:rowOff>
    </xdr:from>
    <xdr:ext cx="152400" cy="152400"/>
    <xdr:pic>
      <xdr:nvPicPr>
        <xdr:cNvPr id="956" name="Immagine 955" descr="http://demaco.consob/ArchiflowWeb/images/indicator.gif">
          <a:extLst>
            <a:ext uri="{FF2B5EF4-FFF2-40B4-BE49-F238E27FC236}">
              <a16:creationId xmlns:a16="http://schemas.microsoft.com/office/drawing/2014/main" id="{0BDA4E03-F0DD-44C8-B93E-220A2EBD72A7}"/>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666</xdr:row>
      <xdr:rowOff>0</xdr:rowOff>
    </xdr:from>
    <xdr:ext cx="152400" cy="152400"/>
    <xdr:pic>
      <xdr:nvPicPr>
        <xdr:cNvPr id="957" name="Immagine 956" descr="http://demaco.consob/ArchiflowWeb/images/indicator.gif">
          <a:extLst>
            <a:ext uri="{FF2B5EF4-FFF2-40B4-BE49-F238E27FC236}">
              <a16:creationId xmlns:a16="http://schemas.microsoft.com/office/drawing/2014/main" id="{1685BF27-056F-418B-AC61-18B76DC68CBD}"/>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666</xdr:row>
      <xdr:rowOff>0</xdr:rowOff>
    </xdr:from>
    <xdr:ext cx="152400" cy="152400"/>
    <xdr:pic>
      <xdr:nvPicPr>
        <xdr:cNvPr id="958" name="Immagine 957" descr="http://demaco.consob/ArchiflowWeb/images/indicator.gif">
          <a:extLst>
            <a:ext uri="{FF2B5EF4-FFF2-40B4-BE49-F238E27FC236}">
              <a16:creationId xmlns:a16="http://schemas.microsoft.com/office/drawing/2014/main" id="{69D35D04-5D7B-4E91-8050-EEFC8BB2229E}"/>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666</xdr:row>
      <xdr:rowOff>0</xdr:rowOff>
    </xdr:from>
    <xdr:ext cx="152400" cy="152400"/>
    <xdr:pic>
      <xdr:nvPicPr>
        <xdr:cNvPr id="959" name="Immagine 958" descr="http://demaco.consob/ArchiflowWeb/images/indicator.gif">
          <a:extLst>
            <a:ext uri="{FF2B5EF4-FFF2-40B4-BE49-F238E27FC236}">
              <a16:creationId xmlns:a16="http://schemas.microsoft.com/office/drawing/2014/main" id="{5571EAB7-49F8-427D-AEF4-18E6238989E6}"/>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666</xdr:row>
      <xdr:rowOff>0</xdr:rowOff>
    </xdr:from>
    <xdr:ext cx="152400" cy="152400"/>
    <xdr:pic>
      <xdr:nvPicPr>
        <xdr:cNvPr id="960" name="Immagine 959" descr="http://demaco.consob/ArchiflowWeb/images/indicator.gif">
          <a:extLst>
            <a:ext uri="{FF2B5EF4-FFF2-40B4-BE49-F238E27FC236}">
              <a16:creationId xmlns:a16="http://schemas.microsoft.com/office/drawing/2014/main" id="{B1783D60-5B47-4379-81B1-CECFE522562B}"/>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666</xdr:row>
      <xdr:rowOff>0</xdr:rowOff>
    </xdr:from>
    <xdr:ext cx="152400" cy="152400"/>
    <xdr:pic>
      <xdr:nvPicPr>
        <xdr:cNvPr id="961" name="Immagine 960" descr="http://demaco.consob/ArchiflowWeb/images/indicator.gif">
          <a:extLst>
            <a:ext uri="{FF2B5EF4-FFF2-40B4-BE49-F238E27FC236}">
              <a16:creationId xmlns:a16="http://schemas.microsoft.com/office/drawing/2014/main" id="{D9A88F7C-7388-4CCB-9FFD-508EEC7CFA1F}"/>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666</xdr:row>
      <xdr:rowOff>0</xdr:rowOff>
    </xdr:from>
    <xdr:ext cx="152400" cy="152400"/>
    <xdr:pic>
      <xdr:nvPicPr>
        <xdr:cNvPr id="962" name="Immagine 961" descr="http://demaco.consob/ArchiflowWeb/images/indicator.gif">
          <a:extLst>
            <a:ext uri="{FF2B5EF4-FFF2-40B4-BE49-F238E27FC236}">
              <a16:creationId xmlns:a16="http://schemas.microsoft.com/office/drawing/2014/main" id="{F8BDA4C5-7D4B-4320-B2F4-FE2BDFA8EE7D}"/>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666</xdr:row>
      <xdr:rowOff>0</xdr:rowOff>
    </xdr:from>
    <xdr:ext cx="152400" cy="152400"/>
    <xdr:pic>
      <xdr:nvPicPr>
        <xdr:cNvPr id="963" name="Immagine 962" descr="http://demaco.consob/ArchiflowWeb/images/indicator.gif">
          <a:extLst>
            <a:ext uri="{FF2B5EF4-FFF2-40B4-BE49-F238E27FC236}">
              <a16:creationId xmlns:a16="http://schemas.microsoft.com/office/drawing/2014/main" id="{4912F926-66F4-4CEE-AA1D-080557F6C20F}"/>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666</xdr:row>
      <xdr:rowOff>0</xdr:rowOff>
    </xdr:from>
    <xdr:ext cx="152400" cy="152400"/>
    <xdr:pic>
      <xdr:nvPicPr>
        <xdr:cNvPr id="964" name="Immagine 963" descr="http://demaco.consob/ArchiflowWeb/images/indicator.gif">
          <a:extLst>
            <a:ext uri="{FF2B5EF4-FFF2-40B4-BE49-F238E27FC236}">
              <a16:creationId xmlns:a16="http://schemas.microsoft.com/office/drawing/2014/main" id="{94093D2D-39B6-4716-BB89-2E4C15C29041}"/>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666</xdr:row>
      <xdr:rowOff>0</xdr:rowOff>
    </xdr:from>
    <xdr:ext cx="152400" cy="152400"/>
    <xdr:pic>
      <xdr:nvPicPr>
        <xdr:cNvPr id="965" name="Immagine 964" descr="http://demaco.consob/ArchiflowWeb/images/indicator.gif">
          <a:extLst>
            <a:ext uri="{FF2B5EF4-FFF2-40B4-BE49-F238E27FC236}">
              <a16:creationId xmlns:a16="http://schemas.microsoft.com/office/drawing/2014/main" id="{EF2C47FF-A4FB-4188-ABF7-C62496E5CFB1}"/>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666</xdr:row>
      <xdr:rowOff>0</xdr:rowOff>
    </xdr:from>
    <xdr:ext cx="152400" cy="152400"/>
    <xdr:pic>
      <xdr:nvPicPr>
        <xdr:cNvPr id="966" name="Immagine 965" descr="http://demaco.consob/ArchiflowWeb/images/indicator.gif">
          <a:extLst>
            <a:ext uri="{FF2B5EF4-FFF2-40B4-BE49-F238E27FC236}">
              <a16:creationId xmlns:a16="http://schemas.microsoft.com/office/drawing/2014/main" id="{EA7C82EF-2F8D-4EC9-9FEF-E547445670D1}"/>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666</xdr:row>
      <xdr:rowOff>0</xdr:rowOff>
    </xdr:from>
    <xdr:ext cx="152400" cy="152400"/>
    <xdr:pic>
      <xdr:nvPicPr>
        <xdr:cNvPr id="967" name="Immagine 966" descr="http://demaco.consob/ArchiflowWeb/images/indicator.gif">
          <a:extLst>
            <a:ext uri="{FF2B5EF4-FFF2-40B4-BE49-F238E27FC236}">
              <a16:creationId xmlns:a16="http://schemas.microsoft.com/office/drawing/2014/main" id="{586FAE4E-7820-4C82-9D84-B400C34A4E66}"/>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666</xdr:row>
      <xdr:rowOff>0</xdr:rowOff>
    </xdr:from>
    <xdr:ext cx="152400" cy="152400"/>
    <xdr:pic>
      <xdr:nvPicPr>
        <xdr:cNvPr id="968" name="Immagine 967" descr="http://demaco.consob/ArchiflowWeb/images/indicator.gif">
          <a:extLst>
            <a:ext uri="{FF2B5EF4-FFF2-40B4-BE49-F238E27FC236}">
              <a16:creationId xmlns:a16="http://schemas.microsoft.com/office/drawing/2014/main" id="{C1EE8C68-660D-4E39-AD53-3D6C4AFFDAA5}"/>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666</xdr:row>
      <xdr:rowOff>0</xdr:rowOff>
    </xdr:from>
    <xdr:ext cx="152400" cy="152400"/>
    <xdr:pic>
      <xdr:nvPicPr>
        <xdr:cNvPr id="969" name="Immagine 968" descr="http://demaco.consob/ArchiflowWeb/images/indicator.gif">
          <a:extLst>
            <a:ext uri="{FF2B5EF4-FFF2-40B4-BE49-F238E27FC236}">
              <a16:creationId xmlns:a16="http://schemas.microsoft.com/office/drawing/2014/main" id="{383A8A63-8B57-49EC-B59F-D176CCB37FB2}"/>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666</xdr:row>
      <xdr:rowOff>0</xdr:rowOff>
    </xdr:from>
    <xdr:ext cx="152400" cy="152400"/>
    <xdr:pic>
      <xdr:nvPicPr>
        <xdr:cNvPr id="970" name="Immagine 969" descr="http://demaco.consob/ArchiflowWeb/images/indicator.gif">
          <a:extLst>
            <a:ext uri="{FF2B5EF4-FFF2-40B4-BE49-F238E27FC236}">
              <a16:creationId xmlns:a16="http://schemas.microsoft.com/office/drawing/2014/main" id="{9FD542A1-52D7-4694-BFD9-FAC888BA122A}"/>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666</xdr:row>
      <xdr:rowOff>0</xdr:rowOff>
    </xdr:from>
    <xdr:ext cx="152400" cy="152400"/>
    <xdr:pic>
      <xdr:nvPicPr>
        <xdr:cNvPr id="971" name="Immagine 970" descr="http://demaco.consob/ArchiflowWeb/images/indicator.gif">
          <a:extLst>
            <a:ext uri="{FF2B5EF4-FFF2-40B4-BE49-F238E27FC236}">
              <a16:creationId xmlns:a16="http://schemas.microsoft.com/office/drawing/2014/main" id="{109D831C-913B-4D9F-9EA5-6209D1FE924D}"/>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666</xdr:row>
      <xdr:rowOff>0</xdr:rowOff>
    </xdr:from>
    <xdr:ext cx="152400" cy="152400"/>
    <xdr:pic>
      <xdr:nvPicPr>
        <xdr:cNvPr id="972" name="Immagine 971" descr="http://demaco.consob/ArchiflowWeb/images/indicator.gif">
          <a:extLst>
            <a:ext uri="{FF2B5EF4-FFF2-40B4-BE49-F238E27FC236}">
              <a16:creationId xmlns:a16="http://schemas.microsoft.com/office/drawing/2014/main" id="{C37E78E3-D711-48C6-839C-968716BDA14F}"/>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666</xdr:row>
      <xdr:rowOff>0</xdr:rowOff>
    </xdr:from>
    <xdr:ext cx="152400" cy="152400"/>
    <xdr:pic>
      <xdr:nvPicPr>
        <xdr:cNvPr id="973" name="Immagine 972" descr="http://demaco.consob/ArchiflowWeb/images/indicator.gif">
          <a:extLst>
            <a:ext uri="{FF2B5EF4-FFF2-40B4-BE49-F238E27FC236}">
              <a16:creationId xmlns:a16="http://schemas.microsoft.com/office/drawing/2014/main" id="{FFFFB836-14D2-46E9-AF14-548ECB770B2D}"/>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666</xdr:row>
      <xdr:rowOff>0</xdr:rowOff>
    </xdr:from>
    <xdr:ext cx="152400" cy="152400"/>
    <xdr:pic>
      <xdr:nvPicPr>
        <xdr:cNvPr id="974" name="Immagine 973" descr="http://demaco.consob/ArchiflowWeb/images/indicator.gif">
          <a:extLst>
            <a:ext uri="{FF2B5EF4-FFF2-40B4-BE49-F238E27FC236}">
              <a16:creationId xmlns:a16="http://schemas.microsoft.com/office/drawing/2014/main" id="{14A22689-A09A-434F-93D2-2BDBF7F36B9C}"/>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666</xdr:row>
      <xdr:rowOff>0</xdr:rowOff>
    </xdr:from>
    <xdr:ext cx="152400" cy="152400"/>
    <xdr:pic>
      <xdr:nvPicPr>
        <xdr:cNvPr id="975" name="Immagine 974" descr="http://demaco.consob/ArchiflowWeb/images/indicator.gif">
          <a:extLst>
            <a:ext uri="{FF2B5EF4-FFF2-40B4-BE49-F238E27FC236}">
              <a16:creationId xmlns:a16="http://schemas.microsoft.com/office/drawing/2014/main" id="{5E819553-AF80-40B2-B003-E0D4BE29A3FA}"/>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666</xdr:row>
      <xdr:rowOff>0</xdr:rowOff>
    </xdr:from>
    <xdr:ext cx="152400" cy="152400"/>
    <xdr:pic>
      <xdr:nvPicPr>
        <xdr:cNvPr id="976" name="Immagine 975" descr="http://demaco.consob/ArchiflowWeb/images/indicator.gif">
          <a:extLst>
            <a:ext uri="{FF2B5EF4-FFF2-40B4-BE49-F238E27FC236}">
              <a16:creationId xmlns:a16="http://schemas.microsoft.com/office/drawing/2014/main" id="{DE9F91AC-FBA1-499F-A49C-48FCDD2AEA09}"/>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666</xdr:row>
      <xdr:rowOff>0</xdr:rowOff>
    </xdr:from>
    <xdr:ext cx="152400" cy="152400"/>
    <xdr:pic>
      <xdr:nvPicPr>
        <xdr:cNvPr id="977" name="Immagine 976" descr="http://demaco.consob/ArchiflowWeb/images/indicator.gif">
          <a:extLst>
            <a:ext uri="{FF2B5EF4-FFF2-40B4-BE49-F238E27FC236}">
              <a16:creationId xmlns:a16="http://schemas.microsoft.com/office/drawing/2014/main" id="{027CC1F6-C349-4E34-8382-882D79689AB2}"/>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666</xdr:row>
      <xdr:rowOff>0</xdr:rowOff>
    </xdr:from>
    <xdr:ext cx="152400" cy="152400"/>
    <xdr:pic>
      <xdr:nvPicPr>
        <xdr:cNvPr id="978" name="Immagine 977" descr="http://demaco.consob/ArchiflowWeb/images/indicator.gif">
          <a:extLst>
            <a:ext uri="{FF2B5EF4-FFF2-40B4-BE49-F238E27FC236}">
              <a16:creationId xmlns:a16="http://schemas.microsoft.com/office/drawing/2014/main" id="{A9A4B1D0-3E8E-4BE0-840E-FB55AA63FC3D}"/>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666</xdr:row>
      <xdr:rowOff>0</xdr:rowOff>
    </xdr:from>
    <xdr:ext cx="152400" cy="152400"/>
    <xdr:pic>
      <xdr:nvPicPr>
        <xdr:cNvPr id="979" name="Immagine 978" descr="http://demaco.consob/ArchiflowWeb/images/indicator.gif">
          <a:extLst>
            <a:ext uri="{FF2B5EF4-FFF2-40B4-BE49-F238E27FC236}">
              <a16:creationId xmlns:a16="http://schemas.microsoft.com/office/drawing/2014/main" id="{2CBFEEEB-C804-4D6D-8C42-ADE54B8B6FC6}"/>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666</xdr:row>
      <xdr:rowOff>0</xdr:rowOff>
    </xdr:from>
    <xdr:ext cx="152400" cy="152400"/>
    <xdr:pic>
      <xdr:nvPicPr>
        <xdr:cNvPr id="980" name="Immagine 979" descr="http://demaco.consob/ArchiflowWeb/images/indicator.gif">
          <a:extLst>
            <a:ext uri="{FF2B5EF4-FFF2-40B4-BE49-F238E27FC236}">
              <a16:creationId xmlns:a16="http://schemas.microsoft.com/office/drawing/2014/main" id="{B654312A-C2C1-4B18-9513-826720D27CC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666</xdr:row>
      <xdr:rowOff>0</xdr:rowOff>
    </xdr:from>
    <xdr:ext cx="152400" cy="152400"/>
    <xdr:pic>
      <xdr:nvPicPr>
        <xdr:cNvPr id="981" name="Immagine 980" descr="http://demaco.consob/ArchiflowWeb/images/indicator.gif">
          <a:extLst>
            <a:ext uri="{FF2B5EF4-FFF2-40B4-BE49-F238E27FC236}">
              <a16:creationId xmlns:a16="http://schemas.microsoft.com/office/drawing/2014/main" id="{4CDC7CED-59E4-48A3-A6EC-6F31BA0D46B7}"/>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666</xdr:row>
      <xdr:rowOff>0</xdr:rowOff>
    </xdr:from>
    <xdr:ext cx="152400" cy="152400"/>
    <xdr:pic>
      <xdr:nvPicPr>
        <xdr:cNvPr id="982" name="Immagine 981" descr="http://demaco.consob/ArchiflowWeb/images/indicator.gif">
          <a:extLst>
            <a:ext uri="{FF2B5EF4-FFF2-40B4-BE49-F238E27FC236}">
              <a16:creationId xmlns:a16="http://schemas.microsoft.com/office/drawing/2014/main" id="{0DEE968F-A312-4462-BC86-CE114478D909}"/>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666</xdr:row>
      <xdr:rowOff>0</xdr:rowOff>
    </xdr:from>
    <xdr:ext cx="152400" cy="152400"/>
    <xdr:pic>
      <xdr:nvPicPr>
        <xdr:cNvPr id="983" name="Immagine 982" descr="http://demaco.consob/ArchiflowWeb/images/indicator.gif">
          <a:extLst>
            <a:ext uri="{FF2B5EF4-FFF2-40B4-BE49-F238E27FC236}">
              <a16:creationId xmlns:a16="http://schemas.microsoft.com/office/drawing/2014/main" id="{2B62AA7B-C7D3-45AA-B9DF-279A154B8CE1}"/>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666</xdr:row>
      <xdr:rowOff>0</xdr:rowOff>
    </xdr:from>
    <xdr:ext cx="152400" cy="152400"/>
    <xdr:pic>
      <xdr:nvPicPr>
        <xdr:cNvPr id="984" name="Immagine 983" descr="http://demaco.consob/ArchiflowWeb/images/indicator.gif">
          <a:extLst>
            <a:ext uri="{FF2B5EF4-FFF2-40B4-BE49-F238E27FC236}">
              <a16:creationId xmlns:a16="http://schemas.microsoft.com/office/drawing/2014/main" id="{882F8AB7-5833-4534-B1AD-8C019E0382BB}"/>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666</xdr:row>
      <xdr:rowOff>0</xdr:rowOff>
    </xdr:from>
    <xdr:ext cx="152400" cy="152400"/>
    <xdr:pic>
      <xdr:nvPicPr>
        <xdr:cNvPr id="985" name="Immagine 984" descr="http://demaco.consob/ArchiflowWeb/images/indicator.gif">
          <a:extLst>
            <a:ext uri="{FF2B5EF4-FFF2-40B4-BE49-F238E27FC236}">
              <a16:creationId xmlns:a16="http://schemas.microsoft.com/office/drawing/2014/main" id="{AFC820F2-1F34-48BF-8E53-D29767B10C74}"/>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666</xdr:row>
      <xdr:rowOff>0</xdr:rowOff>
    </xdr:from>
    <xdr:ext cx="152400" cy="152400"/>
    <xdr:pic>
      <xdr:nvPicPr>
        <xdr:cNvPr id="986" name="Immagine 985" descr="http://demaco.consob/ArchiflowWeb/images/indicator.gif">
          <a:extLst>
            <a:ext uri="{FF2B5EF4-FFF2-40B4-BE49-F238E27FC236}">
              <a16:creationId xmlns:a16="http://schemas.microsoft.com/office/drawing/2014/main" id="{9E83EFB1-A726-41C2-8B83-E09418E01236}"/>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666</xdr:row>
      <xdr:rowOff>0</xdr:rowOff>
    </xdr:from>
    <xdr:ext cx="152400" cy="152400"/>
    <xdr:pic>
      <xdr:nvPicPr>
        <xdr:cNvPr id="987" name="Immagine 986" descr="http://demaco.consob/ArchiflowWeb/images/indicator.gif">
          <a:extLst>
            <a:ext uri="{FF2B5EF4-FFF2-40B4-BE49-F238E27FC236}">
              <a16:creationId xmlns:a16="http://schemas.microsoft.com/office/drawing/2014/main" id="{E288E35E-01AB-4268-959A-8955EA44F231}"/>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666</xdr:row>
      <xdr:rowOff>0</xdr:rowOff>
    </xdr:from>
    <xdr:ext cx="152400" cy="152400"/>
    <xdr:pic>
      <xdr:nvPicPr>
        <xdr:cNvPr id="988" name="Immagine 987" descr="http://demaco.consob/ArchiflowWeb/images/indicator.gif">
          <a:extLst>
            <a:ext uri="{FF2B5EF4-FFF2-40B4-BE49-F238E27FC236}">
              <a16:creationId xmlns:a16="http://schemas.microsoft.com/office/drawing/2014/main" id="{B699E878-0945-43A2-8F08-5A55566555D8}"/>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666</xdr:row>
      <xdr:rowOff>0</xdr:rowOff>
    </xdr:from>
    <xdr:ext cx="152400" cy="152400"/>
    <xdr:pic>
      <xdr:nvPicPr>
        <xdr:cNvPr id="989" name="Immagine 988" descr="http://demaco.consob/ArchiflowWeb/images/indicator.gif">
          <a:extLst>
            <a:ext uri="{FF2B5EF4-FFF2-40B4-BE49-F238E27FC236}">
              <a16:creationId xmlns:a16="http://schemas.microsoft.com/office/drawing/2014/main" id="{978F61F9-F037-42B1-98FA-F4EB23A85CFE}"/>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666</xdr:row>
      <xdr:rowOff>0</xdr:rowOff>
    </xdr:from>
    <xdr:ext cx="152400" cy="152400"/>
    <xdr:pic>
      <xdr:nvPicPr>
        <xdr:cNvPr id="990" name="Immagine 989" descr="http://demaco.consob/ArchiflowWeb/images/indicator.gif">
          <a:extLst>
            <a:ext uri="{FF2B5EF4-FFF2-40B4-BE49-F238E27FC236}">
              <a16:creationId xmlns:a16="http://schemas.microsoft.com/office/drawing/2014/main" id="{BC371D30-1B47-48EB-8E22-D3AE0501AAD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666</xdr:row>
      <xdr:rowOff>0</xdr:rowOff>
    </xdr:from>
    <xdr:ext cx="152400" cy="152400"/>
    <xdr:pic>
      <xdr:nvPicPr>
        <xdr:cNvPr id="991" name="Immagine 990" descr="http://demaco.consob/ArchiflowWeb/images/indicator.gif">
          <a:extLst>
            <a:ext uri="{FF2B5EF4-FFF2-40B4-BE49-F238E27FC236}">
              <a16:creationId xmlns:a16="http://schemas.microsoft.com/office/drawing/2014/main" id="{39405959-0AE1-4924-8E00-D14968BFB79A}"/>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666</xdr:row>
      <xdr:rowOff>0</xdr:rowOff>
    </xdr:from>
    <xdr:ext cx="152400" cy="152400"/>
    <xdr:pic>
      <xdr:nvPicPr>
        <xdr:cNvPr id="992" name="Immagine 991" descr="http://demaco.consob/ArchiflowWeb/images/indicator.gif">
          <a:extLst>
            <a:ext uri="{FF2B5EF4-FFF2-40B4-BE49-F238E27FC236}">
              <a16:creationId xmlns:a16="http://schemas.microsoft.com/office/drawing/2014/main" id="{04F3130C-6C1B-4516-A1A6-AEE4C895E28B}"/>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666</xdr:row>
      <xdr:rowOff>0</xdr:rowOff>
    </xdr:from>
    <xdr:ext cx="152400" cy="152400"/>
    <xdr:pic>
      <xdr:nvPicPr>
        <xdr:cNvPr id="993" name="Immagine 992" descr="http://demaco.consob/ArchiflowWeb/images/indicator.gif">
          <a:extLst>
            <a:ext uri="{FF2B5EF4-FFF2-40B4-BE49-F238E27FC236}">
              <a16:creationId xmlns:a16="http://schemas.microsoft.com/office/drawing/2014/main" id="{99B2AE91-50A4-4D04-8F4F-8871D8550CB6}"/>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666</xdr:row>
      <xdr:rowOff>0</xdr:rowOff>
    </xdr:from>
    <xdr:ext cx="152400" cy="152400"/>
    <xdr:pic>
      <xdr:nvPicPr>
        <xdr:cNvPr id="994" name="Immagine 993" descr="http://demaco.consob/ArchiflowWeb/images/indicator.gif">
          <a:extLst>
            <a:ext uri="{FF2B5EF4-FFF2-40B4-BE49-F238E27FC236}">
              <a16:creationId xmlns:a16="http://schemas.microsoft.com/office/drawing/2014/main" id="{35852481-4115-4335-A176-444973ED2F1E}"/>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666</xdr:row>
      <xdr:rowOff>0</xdr:rowOff>
    </xdr:from>
    <xdr:ext cx="152400" cy="152400"/>
    <xdr:pic>
      <xdr:nvPicPr>
        <xdr:cNvPr id="995" name="Immagine 994" descr="http://demaco.consob/ArchiflowWeb/images/indicator.gif">
          <a:extLst>
            <a:ext uri="{FF2B5EF4-FFF2-40B4-BE49-F238E27FC236}">
              <a16:creationId xmlns:a16="http://schemas.microsoft.com/office/drawing/2014/main" id="{A287995F-E225-46CE-A4C1-AE0BE2E476EE}"/>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666</xdr:row>
      <xdr:rowOff>0</xdr:rowOff>
    </xdr:from>
    <xdr:ext cx="152400" cy="152400"/>
    <xdr:pic>
      <xdr:nvPicPr>
        <xdr:cNvPr id="996" name="Immagine 995" descr="http://demaco.consob/ArchiflowWeb/images/indicator.gif">
          <a:extLst>
            <a:ext uri="{FF2B5EF4-FFF2-40B4-BE49-F238E27FC236}">
              <a16:creationId xmlns:a16="http://schemas.microsoft.com/office/drawing/2014/main" id="{5DC93C90-7D09-4C30-941F-78A4FC9BBAEF}"/>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666</xdr:row>
      <xdr:rowOff>0</xdr:rowOff>
    </xdr:from>
    <xdr:ext cx="152400" cy="152400"/>
    <xdr:pic>
      <xdr:nvPicPr>
        <xdr:cNvPr id="997" name="Immagine 996" descr="http://demaco.consob/ArchiflowWeb/images/indicator.gif">
          <a:extLst>
            <a:ext uri="{FF2B5EF4-FFF2-40B4-BE49-F238E27FC236}">
              <a16:creationId xmlns:a16="http://schemas.microsoft.com/office/drawing/2014/main" id="{05EC66F0-FFD2-47F1-B042-4ECC3AED9A69}"/>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666</xdr:row>
      <xdr:rowOff>0</xdr:rowOff>
    </xdr:from>
    <xdr:ext cx="152400" cy="152400"/>
    <xdr:pic>
      <xdr:nvPicPr>
        <xdr:cNvPr id="998" name="Immagine 997" descr="http://demaco.consob/ArchiflowWeb/images/indicator.gif">
          <a:extLst>
            <a:ext uri="{FF2B5EF4-FFF2-40B4-BE49-F238E27FC236}">
              <a16:creationId xmlns:a16="http://schemas.microsoft.com/office/drawing/2014/main" id="{5FF8A3D6-6C10-4AE4-A610-FE163D3000C5}"/>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666</xdr:row>
      <xdr:rowOff>0</xdr:rowOff>
    </xdr:from>
    <xdr:ext cx="152400" cy="152400"/>
    <xdr:pic>
      <xdr:nvPicPr>
        <xdr:cNvPr id="999" name="Immagine 998" descr="http://demaco.consob/ArchiflowWeb/images/indicator.gif">
          <a:extLst>
            <a:ext uri="{FF2B5EF4-FFF2-40B4-BE49-F238E27FC236}">
              <a16:creationId xmlns:a16="http://schemas.microsoft.com/office/drawing/2014/main" id="{C42ADA9B-4895-4C1A-867B-9E2C517AE186}"/>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666</xdr:row>
      <xdr:rowOff>0</xdr:rowOff>
    </xdr:from>
    <xdr:ext cx="152400" cy="152400"/>
    <xdr:pic>
      <xdr:nvPicPr>
        <xdr:cNvPr id="1000" name="Immagine 999" descr="http://demaco.consob/ArchiflowWeb/images/indicator.gif">
          <a:extLst>
            <a:ext uri="{FF2B5EF4-FFF2-40B4-BE49-F238E27FC236}">
              <a16:creationId xmlns:a16="http://schemas.microsoft.com/office/drawing/2014/main" id="{2735789B-BE91-46B9-B9AB-BE48D64DFA99}"/>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666</xdr:row>
      <xdr:rowOff>0</xdr:rowOff>
    </xdr:from>
    <xdr:ext cx="152400" cy="152400"/>
    <xdr:pic>
      <xdr:nvPicPr>
        <xdr:cNvPr id="1001" name="Immagine 1000" descr="http://demaco.consob/ArchiflowWeb/images/indicator.gif">
          <a:extLst>
            <a:ext uri="{FF2B5EF4-FFF2-40B4-BE49-F238E27FC236}">
              <a16:creationId xmlns:a16="http://schemas.microsoft.com/office/drawing/2014/main" id="{B001432F-AF78-4E85-B19C-DBC0211FF3B3}"/>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666</xdr:row>
      <xdr:rowOff>0</xdr:rowOff>
    </xdr:from>
    <xdr:ext cx="152400" cy="152400"/>
    <xdr:pic>
      <xdr:nvPicPr>
        <xdr:cNvPr id="1002" name="Immagine 1001" descr="http://demaco.consob/ArchiflowWeb/images/indicator.gif">
          <a:extLst>
            <a:ext uri="{FF2B5EF4-FFF2-40B4-BE49-F238E27FC236}">
              <a16:creationId xmlns:a16="http://schemas.microsoft.com/office/drawing/2014/main" id="{031802C9-9DE2-4787-9CB6-B37F9EB2B617}"/>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666</xdr:row>
      <xdr:rowOff>0</xdr:rowOff>
    </xdr:from>
    <xdr:ext cx="152400" cy="152400"/>
    <xdr:pic>
      <xdr:nvPicPr>
        <xdr:cNvPr id="1003" name="Immagine 1002" descr="http://demaco.consob/ArchiflowWeb/images/indicator.gif">
          <a:extLst>
            <a:ext uri="{FF2B5EF4-FFF2-40B4-BE49-F238E27FC236}">
              <a16:creationId xmlns:a16="http://schemas.microsoft.com/office/drawing/2014/main" id="{C6958CEE-0460-4F76-A140-49F614A790B4}"/>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666</xdr:row>
      <xdr:rowOff>0</xdr:rowOff>
    </xdr:from>
    <xdr:ext cx="152400" cy="152400"/>
    <xdr:pic>
      <xdr:nvPicPr>
        <xdr:cNvPr id="1004" name="Immagine 1003" descr="http://demaco.consob/ArchiflowWeb/images/indicator.gif">
          <a:extLst>
            <a:ext uri="{FF2B5EF4-FFF2-40B4-BE49-F238E27FC236}">
              <a16:creationId xmlns:a16="http://schemas.microsoft.com/office/drawing/2014/main" id="{820C454E-01BE-4985-8C7A-52359C9833CB}"/>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666</xdr:row>
      <xdr:rowOff>0</xdr:rowOff>
    </xdr:from>
    <xdr:ext cx="152400" cy="152400"/>
    <xdr:pic>
      <xdr:nvPicPr>
        <xdr:cNvPr id="1005" name="Immagine 1004" descr="http://demaco.consob/ArchiflowWeb/images/indicator.gif">
          <a:extLst>
            <a:ext uri="{FF2B5EF4-FFF2-40B4-BE49-F238E27FC236}">
              <a16:creationId xmlns:a16="http://schemas.microsoft.com/office/drawing/2014/main" id="{141C82B8-9C11-4CC5-8160-46350BE96BCE}"/>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666</xdr:row>
      <xdr:rowOff>0</xdr:rowOff>
    </xdr:from>
    <xdr:ext cx="152400" cy="152400"/>
    <xdr:pic>
      <xdr:nvPicPr>
        <xdr:cNvPr id="1006" name="Immagine 1005" descr="http://demaco.consob/ArchiflowWeb/images/indicator.gif">
          <a:extLst>
            <a:ext uri="{FF2B5EF4-FFF2-40B4-BE49-F238E27FC236}">
              <a16:creationId xmlns:a16="http://schemas.microsoft.com/office/drawing/2014/main" id="{3B45B8FC-C777-424C-B21A-931C5D785968}"/>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666</xdr:row>
      <xdr:rowOff>0</xdr:rowOff>
    </xdr:from>
    <xdr:ext cx="152400" cy="152400"/>
    <xdr:pic>
      <xdr:nvPicPr>
        <xdr:cNvPr id="1007" name="Immagine 1006" descr="http://demaco.consob/ArchiflowWeb/images/indicator.gif">
          <a:extLst>
            <a:ext uri="{FF2B5EF4-FFF2-40B4-BE49-F238E27FC236}">
              <a16:creationId xmlns:a16="http://schemas.microsoft.com/office/drawing/2014/main" id="{D0C5C550-BBAD-4F44-BEB3-E4EAA4B66534}"/>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666</xdr:row>
      <xdr:rowOff>0</xdr:rowOff>
    </xdr:from>
    <xdr:ext cx="152400" cy="152400"/>
    <xdr:pic>
      <xdr:nvPicPr>
        <xdr:cNvPr id="1008" name="Immagine 1007" descr="http://demaco.consob/ArchiflowWeb/images/indicator.gif">
          <a:extLst>
            <a:ext uri="{FF2B5EF4-FFF2-40B4-BE49-F238E27FC236}">
              <a16:creationId xmlns:a16="http://schemas.microsoft.com/office/drawing/2014/main" id="{A64953B7-19A0-4281-931E-8FD3EAE1B75C}"/>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666</xdr:row>
      <xdr:rowOff>0</xdr:rowOff>
    </xdr:from>
    <xdr:ext cx="152400" cy="152400"/>
    <xdr:pic>
      <xdr:nvPicPr>
        <xdr:cNvPr id="1009" name="Immagine 1008" descr="http://demaco.consob/ArchiflowWeb/images/indicator.gif">
          <a:extLst>
            <a:ext uri="{FF2B5EF4-FFF2-40B4-BE49-F238E27FC236}">
              <a16:creationId xmlns:a16="http://schemas.microsoft.com/office/drawing/2014/main" id="{E428165F-0084-43A0-978D-89464A80EAA8}"/>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666</xdr:row>
      <xdr:rowOff>0</xdr:rowOff>
    </xdr:from>
    <xdr:ext cx="152400" cy="152400"/>
    <xdr:pic>
      <xdr:nvPicPr>
        <xdr:cNvPr id="1010" name="Immagine 1009" descr="http://demaco.consob/ArchiflowWeb/images/indicator.gif">
          <a:extLst>
            <a:ext uri="{FF2B5EF4-FFF2-40B4-BE49-F238E27FC236}">
              <a16:creationId xmlns:a16="http://schemas.microsoft.com/office/drawing/2014/main" id="{8587599C-7C92-4F40-8D8B-AB8C72C4C72D}"/>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666</xdr:row>
      <xdr:rowOff>0</xdr:rowOff>
    </xdr:from>
    <xdr:ext cx="152400" cy="152400"/>
    <xdr:pic>
      <xdr:nvPicPr>
        <xdr:cNvPr id="1011" name="Immagine 1010" descr="http://demaco.consob/ArchiflowWeb/images/indicator.gif">
          <a:extLst>
            <a:ext uri="{FF2B5EF4-FFF2-40B4-BE49-F238E27FC236}">
              <a16:creationId xmlns:a16="http://schemas.microsoft.com/office/drawing/2014/main" id="{58A08C60-2044-408F-B8CB-1BDADB296832}"/>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666</xdr:row>
      <xdr:rowOff>0</xdr:rowOff>
    </xdr:from>
    <xdr:ext cx="152400" cy="152400"/>
    <xdr:pic>
      <xdr:nvPicPr>
        <xdr:cNvPr id="1012" name="Immagine 1011" descr="http://demaco.consob/ArchiflowWeb/images/indicator.gif">
          <a:extLst>
            <a:ext uri="{FF2B5EF4-FFF2-40B4-BE49-F238E27FC236}">
              <a16:creationId xmlns:a16="http://schemas.microsoft.com/office/drawing/2014/main" id="{6DF4B72A-2BC2-4E7C-8F4E-DA8975C6ED5F}"/>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666</xdr:row>
      <xdr:rowOff>0</xdr:rowOff>
    </xdr:from>
    <xdr:ext cx="152400" cy="152400"/>
    <xdr:pic>
      <xdr:nvPicPr>
        <xdr:cNvPr id="1013" name="Immagine 1012" descr="http://demaco.consob/ArchiflowWeb/images/indicator.gif">
          <a:extLst>
            <a:ext uri="{FF2B5EF4-FFF2-40B4-BE49-F238E27FC236}">
              <a16:creationId xmlns:a16="http://schemas.microsoft.com/office/drawing/2014/main" id="{0C152EE0-531C-42A3-981F-542CED770DCA}"/>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666</xdr:row>
      <xdr:rowOff>0</xdr:rowOff>
    </xdr:from>
    <xdr:ext cx="152400" cy="152400"/>
    <xdr:pic>
      <xdr:nvPicPr>
        <xdr:cNvPr id="1014" name="Immagine 1013" descr="http://demaco.consob/ArchiflowWeb/images/indicator.gif">
          <a:extLst>
            <a:ext uri="{FF2B5EF4-FFF2-40B4-BE49-F238E27FC236}">
              <a16:creationId xmlns:a16="http://schemas.microsoft.com/office/drawing/2014/main" id="{41B265B2-5AA1-476F-82BE-0807AE464C2E}"/>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666</xdr:row>
      <xdr:rowOff>0</xdr:rowOff>
    </xdr:from>
    <xdr:ext cx="152400" cy="152400"/>
    <xdr:pic>
      <xdr:nvPicPr>
        <xdr:cNvPr id="1015" name="Immagine 1014" descr="http://demaco.consob/ArchiflowWeb/images/indicator.gif">
          <a:extLst>
            <a:ext uri="{FF2B5EF4-FFF2-40B4-BE49-F238E27FC236}">
              <a16:creationId xmlns:a16="http://schemas.microsoft.com/office/drawing/2014/main" id="{CCE95E57-9E42-4466-A12A-90697C0A6B8F}"/>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666</xdr:row>
      <xdr:rowOff>0</xdr:rowOff>
    </xdr:from>
    <xdr:ext cx="152400" cy="152400"/>
    <xdr:pic>
      <xdr:nvPicPr>
        <xdr:cNvPr id="1016" name="Immagine 1015" descr="http://demaco.consob/ArchiflowWeb/images/indicator.gif">
          <a:extLst>
            <a:ext uri="{FF2B5EF4-FFF2-40B4-BE49-F238E27FC236}">
              <a16:creationId xmlns:a16="http://schemas.microsoft.com/office/drawing/2014/main" id="{A09E68A2-9BD2-4B00-85E2-CF8D05B4A546}"/>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666</xdr:row>
      <xdr:rowOff>0</xdr:rowOff>
    </xdr:from>
    <xdr:ext cx="152400" cy="152400"/>
    <xdr:pic>
      <xdr:nvPicPr>
        <xdr:cNvPr id="1017" name="Immagine 1016" descr="http://demaco.consob/ArchiflowWeb/images/indicator.gif">
          <a:extLst>
            <a:ext uri="{FF2B5EF4-FFF2-40B4-BE49-F238E27FC236}">
              <a16:creationId xmlns:a16="http://schemas.microsoft.com/office/drawing/2014/main" id="{1D21EB96-394E-4A7C-B273-286DC860E662}"/>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666</xdr:row>
      <xdr:rowOff>0</xdr:rowOff>
    </xdr:from>
    <xdr:ext cx="152400" cy="152400"/>
    <xdr:pic>
      <xdr:nvPicPr>
        <xdr:cNvPr id="1018" name="Immagine 1017" descr="http://demaco.consob/ArchiflowWeb/images/indicator.gif">
          <a:extLst>
            <a:ext uri="{FF2B5EF4-FFF2-40B4-BE49-F238E27FC236}">
              <a16:creationId xmlns:a16="http://schemas.microsoft.com/office/drawing/2014/main" id="{6CAED9D2-D5B9-426C-B785-ACACC13B1AD6}"/>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666</xdr:row>
      <xdr:rowOff>0</xdr:rowOff>
    </xdr:from>
    <xdr:ext cx="152400" cy="152400"/>
    <xdr:pic>
      <xdr:nvPicPr>
        <xdr:cNvPr id="1019" name="Immagine 1018" descr="http://demaco.consob/ArchiflowWeb/images/indicator.gif">
          <a:extLst>
            <a:ext uri="{FF2B5EF4-FFF2-40B4-BE49-F238E27FC236}">
              <a16:creationId xmlns:a16="http://schemas.microsoft.com/office/drawing/2014/main" id="{D78160EE-50FB-47FA-82DD-83412D6BF8D1}"/>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666</xdr:row>
      <xdr:rowOff>0</xdr:rowOff>
    </xdr:from>
    <xdr:ext cx="152400" cy="152400"/>
    <xdr:pic>
      <xdr:nvPicPr>
        <xdr:cNvPr id="1020" name="Immagine 1019" descr="http://demaco.consob/ArchiflowWeb/images/indicator.gif">
          <a:extLst>
            <a:ext uri="{FF2B5EF4-FFF2-40B4-BE49-F238E27FC236}">
              <a16:creationId xmlns:a16="http://schemas.microsoft.com/office/drawing/2014/main" id="{CA773216-364D-4DF3-9C3A-FB21EA83BDB6}"/>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666</xdr:row>
      <xdr:rowOff>0</xdr:rowOff>
    </xdr:from>
    <xdr:ext cx="152400" cy="152400"/>
    <xdr:pic>
      <xdr:nvPicPr>
        <xdr:cNvPr id="1021" name="Immagine 1020" descr="http://demaco.consob/ArchiflowWeb/images/indicator.gif">
          <a:extLst>
            <a:ext uri="{FF2B5EF4-FFF2-40B4-BE49-F238E27FC236}">
              <a16:creationId xmlns:a16="http://schemas.microsoft.com/office/drawing/2014/main" id="{4CFF305F-30B0-4A7D-88D1-E40B86FA9A75}"/>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666</xdr:row>
      <xdr:rowOff>0</xdr:rowOff>
    </xdr:from>
    <xdr:ext cx="152400" cy="152400"/>
    <xdr:pic>
      <xdr:nvPicPr>
        <xdr:cNvPr id="1022" name="Immagine 1021" descr="http://demaco.consob/ArchiflowWeb/images/indicator.gif">
          <a:extLst>
            <a:ext uri="{FF2B5EF4-FFF2-40B4-BE49-F238E27FC236}">
              <a16:creationId xmlns:a16="http://schemas.microsoft.com/office/drawing/2014/main" id="{C406C676-A3B8-4D4E-A9DB-485996E77FD8}"/>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666</xdr:row>
      <xdr:rowOff>0</xdr:rowOff>
    </xdr:from>
    <xdr:ext cx="152400" cy="152400"/>
    <xdr:pic>
      <xdr:nvPicPr>
        <xdr:cNvPr id="1023" name="Immagine 1022" descr="http://demaco.consob/ArchiflowWeb/images/indicator.gif">
          <a:extLst>
            <a:ext uri="{FF2B5EF4-FFF2-40B4-BE49-F238E27FC236}">
              <a16:creationId xmlns:a16="http://schemas.microsoft.com/office/drawing/2014/main" id="{2AE23F6D-DC48-4AEE-8D5D-5CEB76E4E39F}"/>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666</xdr:row>
      <xdr:rowOff>0</xdr:rowOff>
    </xdr:from>
    <xdr:ext cx="152400" cy="152400"/>
    <xdr:pic>
      <xdr:nvPicPr>
        <xdr:cNvPr id="1024" name="Immagine 1023" descr="http://demaco.consob/ArchiflowWeb/images/indicator.gif">
          <a:extLst>
            <a:ext uri="{FF2B5EF4-FFF2-40B4-BE49-F238E27FC236}">
              <a16:creationId xmlns:a16="http://schemas.microsoft.com/office/drawing/2014/main" id="{9E61339F-CA17-47A2-9FD3-19470E20FA6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666</xdr:row>
      <xdr:rowOff>0</xdr:rowOff>
    </xdr:from>
    <xdr:ext cx="152400" cy="152400"/>
    <xdr:pic>
      <xdr:nvPicPr>
        <xdr:cNvPr id="1025" name="Immagine 1024" descr="http://demaco.consob/ArchiflowWeb/images/indicator.gif">
          <a:extLst>
            <a:ext uri="{FF2B5EF4-FFF2-40B4-BE49-F238E27FC236}">
              <a16:creationId xmlns:a16="http://schemas.microsoft.com/office/drawing/2014/main" id="{E7FDD4BE-87FF-4422-905E-FFF7D320389B}"/>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666</xdr:row>
      <xdr:rowOff>0</xdr:rowOff>
    </xdr:from>
    <xdr:ext cx="152400" cy="152400"/>
    <xdr:pic>
      <xdr:nvPicPr>
        <xdr:cNvPr id="1026" name="Immagine 1025" descr="http://demaco.consob/ArchiflowWeb/images/indicator.gif">
          <a:extLst>
            <a:ext uri="{FF2B5EF4-FFF2-40B4-BE49-F238E27FC236}">
              <a16:creationId xmlns:a16="http://schemas.microsoft.com/office/drawing/2014/main" id="{6EA6373C-8AB5-4EBF-AA75-1444C9D8F8D1}"/>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666</xdr:row>
      <xdr:rowOff>0</xdr:rowOff>
    </xdr:from>
    <xdr:ext cx="152400" cy="152400"/>
    <xdr:pic>
      <xdr:nvPicPr>
        <xdr:cNvPr id="1027" name="Immagine 1026" descr="http://demaco.consob/ArchiflowWeb/images/indicator.gif">
          <a:extLst>
            <a:ext uri="{FF2B5EF4-FFF2-40B4-BE49-F238E27FC236}">
              <a16:creationId xmlns:a16="http://schemas.microsoft.com/office/drawing/2014/main" id="{93A752AF-09CB-4FDD-9484-19EA2F9CA045}"/>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666</xdr:row>
      <xdr:rowOff>0</xdr:rowOff>
    </xdr:from>
    <xdr:ext cx="152400" cy="152400"/>
    <xdr:pic>
      <xdr:nvPicPr>
        <xdr:cNvPr id="1028" name="Immagine 1027" descr="http://demaco.consob/ArchiflowWeb/images/indicator.gif">
          <a:extLst>
            <a:ext uri="{FF2B5EF4-FFF2-40B4-BE49-F238E27FC236}">
              <a16:creationId xmlns:a16="http://schemas.microsoft.com/office/drawing/2014/main" id="{7C859EF6-F475-4A80-8632-1AC49A8DD2D9}"/>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666</xdr:row>
      <xdr:rowOff>0</xdr:rowOff>
    </xdr:from>
    <xdr:ext cx="152400" cy="152400"/>
    <xdr:pic>
      <xdr:nvPicPr>
        <xdr:cNvPr id="1029" name="Immagine 1028" descr="http://demaco.consob/ArchiflowWeb/images/indicator.gif">
          <a:extLst>
            <a:ext uri="{FF2B5EF4-FFF2-40B4-BE49-F238E27FC236}">
              <a16:creationId xmlns:a16="http://schemas.microsoft.com/office/drawing/2014/main" id="{ED374FE3-D9E1-4378-BE6D-07024E3686EC}"/>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666</xdr:row>
      <xdr:rowOff>0</xdr:rowOff>
    </xdr:from>
    <xdr:ext cx="152400" cy="152400"/>
    <xdr:pic>
      <xdr:nvPicPr>
        <xdr:cNvPr id="1030" name="Immagine 1029" descr="http://demaco.consob/ArchiflowWeb/images/indicator.gif">
          <a:extLst>
            <a:ext uri="{FF2B5EF4-FFF2-40B4-BE49-F238E27FC236}">
              <a16:creationId xmlns:a16="http://schemas.microsoft.com/office/drawing/2014/main" id="{721BB45C-11AA-47D1-A5AF-5A85A6745DEA}"/>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666</xdr:row>
      <xdr:rowOff>0</xdr:rowOff>
    </xdr:from>
    <xdr:ext cx="152400" cy="152400"/>
    <xdr:pic>
      <xdr:nvPicPr>
        <xdr:cNvPr id="1031" name="Immagine 1030" descr="http://demaco.consob/ArchiflowWeb/images/indicator.gif">
          <a:extLst>
            <a:ext uri="{FF2B5EF4-FFF2-40B4-BE49-F238E27FC236}">
              <a16:creationId xmlns:a16="http://schemas.microsoft.com/office/drawing/2014/main" id="{72D0081B-29EE-4ACE-AA84-72D99AEF31F7}"/>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666</xdr:row>
      <xdr:rowOff>0</xdr:rowOff>
    </xdr:from>
    <xdr:ext cx="152400" cy="152400"/>
    <xdr:pic>
      <xdr:nvPicPr>
        <xdr:cNvPr id="1032" name="Immagine 1031" descr="http://demaco.consob/ArchiflowWeb/images/indicator.gif">
          <a:extLst>
            <a:ext uri="{FF2B5EF4-FFF2-40B4-BE49-F238E27FC236}">
              <a16:creationId xmlns:a16="http://schemas.microsoft.com/office/drawing/2014/main" id="{1DF5B047-EBE5-4D71-BFD6-D4ABB42DD6B1}"/>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666</xdr:row>
      <xdr:rowOff>0</xdr:rowOff>
    </xdr:from>
    <xdr:ext cx="152400" cy="152400"/>
    <xdr:pic>
      <xdr:nvPicPr>
        <xdr:cNvPr id="1033" name="Immagine 1032" descr="http://demaco.consob/ArchiflowWeb/images/indicator.gif">
          <a:extLst>
            <a:ext uri="{FF2B5EF4-FFF2-40B4-BE49-F238E27FC236}">
              <a16:creationId xmlns:a16="http://schemas.microsoft.com/office/drawing/2014/main" id="{8C0E88D1-EFEC-403C-B452-FBC68A2FB7E1}"/>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666</xdr:row>
      <xdr:rowOff>0</xdr:rowOff>
    </xdr:from>
    <xdr:ext cx="152400" cy="152400"/>
    <xdr:pic>
      <xdr:nvPicPr>
        <xdr:cNvPr id="1034" name="Immagine 1033" descr="http://demaco.consob/ArchiflowWeb/images/indicator.gif">
          <a:extLst>
            <a:ext uri="{FF2B5EF4-FFF2-40B4-BE49-F238E27FC236}">
              <a16:creationId xmlns:a16="http://schemas.microsoft.com/office/drawing/2014/main" id="{3E47B634-CD40-4535-90AC-EA1726C0681D}"/>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666</xdr:row>
      <xdr:rowOff>0</xdr:rowOff>
    </xdr:from>
    <xdr:ext cx="152400" cy="152400"/>
    <xdr:pic>
      <xdr:nvPicPr>
        <xdr:cNvPr id="1035" name="Immagine 1034" descr="http://demaco.consob/ArchiflowWeb/images/indicator.gif">
          <a:extLst>
            <a:ext uri="{FF2B5EF4-FFF2-40B4-BE49-F238E27FC236}">
              <a16:creationId xmlns:a16="http://schemas.microsoft.com/office/drawing/2014/main" id="{93592EF2-A81C-41B9-B435-293477827473}"/>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666</xdr:row>
      <xdr:rowOff>0</xdr:rowOff>
    </xdr:from>
    <xdr:ext cx="152400" cy="152400"/>
    <xdr:pic>
      <xdr:nvPicPr>
        <xdr:cNvPr id="1036" name="Immagine 1035" descr="http://demaco.consob/ArchiflowWeb/images/indicator.gif">
          <a:extLst>
            <a:ext uri="{FF2B5EF4-FFF2-40B4-BE49-F238E27FC236}">
              <a16:creationId xmlns:a16="http://schemas.microsoft.com/office/drawing/2014/main" id="{6F896668-B90D-4197-A19B-5304DE90FC7C}"/>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666</xdr:row>
      <xdr:rowOff>0</xdr:rowOff>
    </xdr:from>
    <xdr:ext cx="152400" cy="152400"/>
    <xdr:pic>
      <xdr:nvPicPr>
        <xdr:cNvPr id="1037" name="Immagine 1036" descr="http://demaco.consob/ArchiflowWeb/images/indicator.gif">
          <a:extLst>
            <a:ext uri="{FF2B5EF4-FFF2-40B4-BE49-F238E27FC236}">
              <a16:creationId xmlns:a16="http://schemas.microsoft.com/office/drawing/2014/main" id="{84DDD6CF-B614-437C-AE10-005E79BB5D0C}"/>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666</xdr:row>
      <xdr:rowOff>0</xdr:rowOff>
    </xdr:from>
    <xdr:ext cx="152400" cy="152400"/>
    <xdr:pic>
      <xdr:nvPicPr>
        <xdr:cNvPr id="1038" name="Immagine 1037" descr="http://demaco.consob/ArchiflowWeb/images/indicator.gif">
          <a:extLst>
            <a:ext uri="{FF2B5EF4-FFF2-40B4-BE49-F238E27FC236}">
              <a16:creationId xmlns:a16="http://schemas.microsoft.com/office/drawing/2014/main" id="{A67D6D05-41FC-42F2-B591-5D1F118BFB1C}"/>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666</xdr:row>
      <xdr:rowOff>0</xdr:rowOff>
    </xdr:from>
    <xdr:ext cx="152400" cy="152400"/>
    <xdr:pic>
      <xdr:nvPicPr>
        <xdr:cNvPr id="1039" name="Immagine 1038" descr="http://demaco.consob/ArchiflowWeb/images/indicator.gif">
          <a:extLst>
            <a:ext uri="{FF2B5EF4-FFF2-40B4-BE49-F238E27FC236}">
              <a16:creationId xmlns:a16="http://schemas.microsoft.com/office/drawing/2014/main" id="{B0DB9233-7E8B-4D09-A89B-A0FECB0DD0CF}"/>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666</xdr:row>
      <xdr:rowOff>0</xdr:rowOff>
    </xdr:from>
    <xdr:ext cx="152400" cy="152400"/>
    <xdr:pic>
      <xdr:nvPicPr>
        <xdr:cNvPr id="1040" name="Immagine 1039" descr="http://demaco.consob/ArchiflowWeb/images/indicator.gif">
          <a:extLst>
            <a:ext uri="{FF2B5EF4-FFF2-40B4-BE49-F238E27FC236}">
              <a16:creationId xmlns:a16="http://schemas.microsoft.com/office/drawing/2014/main" id="{265C8511-444B-454C-9667-42841F46249F}"/>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666</xdr:row>
      <xdr:rowOff>0</xdr:rowOff>
    </xdr:from>
    <xdr:ext cx="152400" cy="152400"/>
    <xdr:pic>
      <xdr:nvPicPr>
        <xdr:cNvPr id="1041" name="Immagine 1040" descr="http://demaco.consob/ArchiflowWeb/images/indicator.gif">
          <a:extLst>
            <a:ext uri="{FF2B5EF4-FFF2-40B4-BE49-F238E27FC236}">
              <a16:creationId xmlns:a16="http://schemas.microsoft.com/office/drawing/2014/main" id="{28A0F115-FF6C-4E4E-BA2C-18D866ACED78}"/>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666</xdr:row>
      <xdr:rowOff>0</xdr:rowOff>
    </xdr:from>
    <xdr:ext cx="152400" cy="152400"/>
    <xdr:pic>
      <xdr:nvPicPr>
        <xdr:cNvPr id="1042" name="Immagine 1041" descr="http://demaco.consob/ArchiflowWeb/images/indicator.gif">
          <a:extLst>
            <a:ext uri="{FF2B5EF4-FFF2-40B4-BE49-F238E27FC236}">
              <a16:creationId xmlns:a16="http://schemas.microsoft.com/office/drawing/2014/main" id="{D7CDFC21-33EF-4114-AE0D-64033A77F2F5}"/>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666</xdr:row>
      <xdr:rowOff>0</xdr:rowOff>
    </xdr:from>
    <xdr:ext cx="152400" cy="152400"/>
    <xdr:pic>
      <xdr:nvPicPr>
        <xdr:cNvPr id="1043" name="Immagine 1042" descr="http://demaco.consob/ArchiflowWeb/images/indicator.gif">
          <a:extLst>
            <a:ext uri="{FF2B5EF4-FFF2-40B4-BE49-F238E27FC236}">
              <a16:creationId xmlns:a16="http://schemas.microsoft.com/office/drawing/2014/main" id="{68C35D2C-6ED2-4D07-A8A0-0A7B4E4C48A7}"/>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666</xdr:row>
      <xdr:rowOff>0</xdr:rowOff>
    </xdr:from>
    <xdr:ext cx="152400" cy="152400"/>
    <xdr:pic>
      <xdr:nvPicPr>
        <xdr:cNvPr id="1044" name="Immagine 1043" descr="http://demaco.consob/ArchiflowWeb/images/indicator.gif">
          <a:extLst>
            <a:ext uri="{FF2B5EF4-FFF2-40B4-BE49-F238E27FC236}">
              <a16:creationId xmlns:a16="http://schemas.microsoft.com/office/drawing/2014/main" id="{9B635650-D6D7-4796-A614-56978E905EF6}"/>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666</xdr:row>
      <xdr:rowOff>0</xdr:rowOff>
    </xdr:from>
    <xdr:ext cx="152400" cy="152400"/>
    <xdr:pic>
      <xdr:nvPicPr>
        <xdr:cNvPr id="1045" name="Immagine 1044" descr="http://demaco.consob/ArchiflowWeb/images/indicator.gif">
          <a:extLst>
            <a:ext uri="{FF2B5EF4-FFF2-40B4-BE49-F238E27FC236}">
              <a16:creationId xmlns:a16="http://schemas.microsoft.com/office/drawing/2014/main" id="{68EF0A5B-2FEA-4EE8-8FE3-22B4F07E792D}"/>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666</xdr:row>
      <xdr:rowOff>0</xdr:rowOff>
    </xdr:from>
    <xdr:ext cx="152400" cy="152400"/>
    <xdr:pic>
      <xdr:nvPicPr>
        <xdr:cNvPr id="1046" name="Immagine 1045" descr="http://demaco.consob/ArchiflowWeb/images/indicator.gif">
          <a:extLst>
            <a:ext uri="{FF2B5EF4-FFF2-40B4-BE49-F238E27FC236}">
              <a16:creationId xmlns:a16="http://schemas.microsoft.com/office/drawing/2014/main" id="{E089FB43-A04A-4237-B0B9-1B898BDAD35D}"/>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666</xdr:row>
      <xdr:rowOff>0</xdr:rowOff>
    </xdr:from>
    <xdr:ext cx="152400" cy="152400"/>
    <xdr:pic>
      <xdr:nvPicPr>
        <xdr:cNvPr id="1047" name="Immagine 1046" descr="http://demaco.consob/ArchiflowWeb/images/indicator.gif">
          <a:extLst>
            <a:ext uri="{FF2B5EF4-FFF2-40B4-BE49-F238E27FC236}">
              <a16:creationId xmlns:a16="http://schemas.microsoft.com/office/drawing/2014/main" id="{C826EEED-DAFF-45CC-9FD3-3BBC2DEE87BA}"/>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666</xdr:row>
      <xdr:rowOff>0</xdr:rowOff>
    </xdr:from>
    <xdr:ext cx="152400" cy="152400"/>
    <xdr:pic>
      <xdr:nvPicPr>
        <xdr:cNvPr id="1048" name="Immagine 1047" descr="http://demaco.consob/ArchiflowWeb/images/indicator.gif">
          <a:extLst>
            <a:ext uri="{FF2B5EF4-FFF2-40B4-BE49-F238E27FC236}">
              <a16:creationId xmlns:a16="http://schemas.microsoft.com/office/drawing/2014/main" id="{9B215415-AC64-4770-9A96-F654EDE4B183}"/>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666</xdr:row>
      <xdr:rowOff>0</xdr:rowOff>
    </xdr:from>
    <xdr:ext cx="152400" cy="152400"/>
    <xdr:pic>
      <xdr:nvPicPr>
        <xdr:cNvPr id="1049" name="Immagine 1048" descr="http://demaco.consob/ArchiflowWeb/images/indicator.gif">
          <a:extLst>
            <a:ext uri="{FF2B5EF4-FFF2-40B4-BE49-F238E27FC236}">
              <a16:creationId xmlns:a16="http://schemas.microsoft.com/office/drawing/2014/main" id="{99E2BE54-9B37-4A6E-9A84-A5DC4597974B}"/>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666</xdr:row>
      <xdr:rowOff>0</xdr:rowOff>
    </xdr:from>
    <xdr:ext cx="152400" cy="152400"/>
    <xdr:pic>
      <xdr:nvPicPr>
        <xdr:cNvPr id="1050" name="Immagine 1049" descr="http://demaco.consob/ArchiflowWeb/images/indicator.gif">
          <a:extLst>
            <a:ext uri="{FF2B5EF4-FFF2-40B4-BE49-F238E27FC236}">
              <a16:creationId xmlns:a16="http://schemas.microsoft.com/office/drawing/2014/main" id="{49F019BE-0F18-4E57-A61A-2CDEB80CFA4E}"/>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666</xdr:row>
      <xdr:rowOff>0</xdr:rowOff>
    </xdr:from>
    <xdr:ext cx="152400" cy="152400"/>
    <xdr:pic>
      <xdr:nvPicPr>
        <xdr:cNvPr id="1051" name="Immagine 1050" descr="http://demaco.consob/ArchiflowWeb/images/indicator.gif">
          <a:extLst>
            <a:ext uri="{FF2B5EF4-FFF2-40B4-BE49-F238E27FC236}">
              <a16:creationId xmlns:a16="http://schemas.microsoft.com/office/drawing/2014/main" id="{5D5F1578-C71D-407B-957D-D1AAF9984306}"/>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666</xdr:row>
      <xdr:rowOff>0</xdr:rowOff>
    </xdr:from>
    <xdr:ext cx="152400" cy="152400"/>
    <xdr:pic>
      <xdr:nvPicPr>
        <xdr:cNvPr id="1052" name="Immagine 1051" descr="http://demaco.consob/ArchiflowWeb/images/indicator.gif">
          <a:extLst>
            <a:ext uri="{FF2B5EF4-FFF2-40B4-BE49-F238E27FC236}">
              <a16:creationId xmlns:a16="http://schemas.microsoft.com/office/drawing/2014/main" id="{D7FC3554-98DA-432C-94EE-BAD978DAAE6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666</xdr:row>
      <xdr:rowOff>0</xdr:rowOff>
    </xdr:from>
    <xdr:ext cx="152400" cy="152400"/>
    <xdr:pic>
      <xdr:nvPicPr>
        <xdr:cNvPr id="1053" name="Immagine 1052" descr="http://demaco.consob/ArchiflowWeb/images/indicator.gif">
          <a:extLst>
            <a:ext uri="{FF2B5EF4-FFF2-40B4-BE49-F238E27FC236}">
              <a16:creationId xmlns:a16="http://schemas.microsoft.com/office/drawing/2014/main" id="{4AAE0A24-D139-44C2-8DDA-145F6AC0EB4D}"/>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666</xdr:row>
      <xdr:rowOff>0</xdr:rowOff>
    </xdr:from>
    <xdr:ext cx="152400" cy="152400"/>
    <xdr:pic>
      <xdr:nvPicPr>
        <xdr:cNvPr id="1054" name="Immagine 1053" descr="http://demaco.consob/ArchiflowWeb/images/indicator.gif">
          <a:extLst>
            <a:ext uri="{FF2B5EF4-FFF2-40B4-BE49-F238E27FC236}">
              <a16:creationId xmlns:a16="http://schemas.microsoft.com/office/drawing/2014/main" id="{79089684-3D22-4B19-96FB-1F7427CD3447}"/>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666</xdr:row>
      <xdr:rowOff>0</xdr:rowOff>
    </xdr:from>
    <xdr:ext cx="152400" cy="152400"/>
    <xdr:pic>
      <xdr:nvPicPr>
        <xdr:cNvPr id="1055" name="Immagine 1054" descr="http://demaco.consob/ArchiflowWeb/images/indicator.gif">
          <a:extLst>
            <a:ext uri="{FF2B5EF4-FFF2-40B4-BE49-F238E27FC236}">
              <a16:creationId xmlns:a16="http://schemas.microsoft.com/office/drawing/2014/main" id="{33F02DC9-D64C-4F3B-80F5-BCFCC4EC38CB}"/>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666</xdr:row>
      <xdr:rowOff>0</xdr:rowOff>
    </xdr:from>
    <xdr:ext cx="152400" cy="152400"/>
    <xdr:pic>
      <xdr:nvPicPr>
        <xdr:cNvPr id="1056" name="Immagine 1055" descr="http://demaco.consob/ArchiflowWeb/images/indicator.gif">
          <a:extLst>
            <a:ext uri="{FF2B5EF4-FFF2-40B4-BE49-F238E27FC236}">
              <a16:creationId xmlns:a16="http://schemas.microsoft.com/office/drawing/2014/main" id="{791BF019-0E7C-4519-8B32-CE6954D2BC14}"/>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666</xdr:row>
      <xdr:rowOff>0</xdr:rowOff>
    </xdr:from>
    <xdr:ext cx="152400" cy="152400"/>
    <xdr:pic>
      <xdr:nvPicPr>
        <xdr:cNvPr id="1057" name="Immagine 1056" descr="http://demaco.consob/ArchiflowWeb/images/indicator.gif">
          <a:extLst>
            <a:ext uri="{FF2B5EF4-FFF2-40B4-BE49-F238E27FC236}">
              <a16:creationId xmlns:a16="http://schemas.microsoft.com/office/drawing/2014/main" id="{F9288B48-8CE1-4A89-9817-174764AC7CAD}"/>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666</xdr:row>
      <xdr:rowOff>0</xdr:rowOff>
    </xdr:from>
    <xdr:ext cx="152400" cy="152400"/>
    <xdr:pic>
      <xdr:nvPicPr>
        <xdr:cNvPr id="1058" name="Immagine 1057" descr="http://demaco.consob/ArchiflowWeb/images/indicator.gif">
          <a:extLst>
            <a:ext uri="{FF2B5EF4-FFF2-40B4-BE49-F238E27FC236}">
              <a16:creationId xmlns:a16="http://schemas.microsoft.com/office/drawing/2014/main" id="{2991FC68-5B62-4511-9EC9-7A1E1292EDC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666</xdr:row>
      <xdr:rowOff>0</xdr:rowOff>
    </xdr:from>
    <xdr:ext cx="152400" cy="152400"/>
    <xdr:pic>
      <xdr:nvPicPr>
        <xdr:cNvPr id="1059" name="Immagine 1058" descr="http://demaco.consob/ArchiflowWeb/images/indicator.gif">
          <a:extLst>
            <a:ext uri="{FF2B5EF4-FFF2-40B4-BE49-F238E27FC236}">
              <a16:creationId xmlns:a16="http://schemas.microsoft.com/office/drawing/2014/main" id="{BAFD293F-C985-4B84-A7F5-0F5E2A601D17}"/>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666</xdr:row>
      <xdr:rowOff>0</xdr:rowOff>
    </xdr:from>
    <xdr:ext cx="152400" cy="152400"/>
    <xdr:pic>
      <xdr:nvPicPr>
        <xdr:cNvPr id="1060" name="Immagine 1059" descr="http://demaco.consob/ArchiflowWeb/images/indicator.gif">
          <a:extLst>
            <a:ext uri="{FF2B5EF4-FFF2-40B4-BE49-F238E27FC236}">
              <a16:creationId xmlns:a16="http://schemas.microsoft.com/office/drawing/2014/main" id="{44F5109E-3FBB-41A8-9BCA-022D8C2FF79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666</xdr:row>
      <xdr:rowOff>0</xdr:rowOff>
    </xdr:from>
    <xdr:ext cx="152400" cy="152400"/>
    <xdr:pic>
      <xdr:nvPicPr>
        <xdr:cNvPr id="1061" name="Immagine 1060" descr="http://demaco.consob/ArchiflowWeb/images/indicator.gif">
          <a:extLst>
            <a:ext uri="{FF2B5EF4-FFF2-40B4-BE49-F238E27FC236}">
              <a16:creationId xmlns:a16="http://schemas.microsoft.com/office/drawing/2014/main" id="{7677CDFE-FF1F-4BE9-A1B8-3449186992B1}"/>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666</xdr:row>
      <xdr:rowOff>0</xdr:rowOff>
    </xdr:from>
    <xdr:ext cx="152400" cy="152400"/>
    <xdr:pic>
      <xdr:nvPicPr>
        <xdr:cNvPr id="1062" name="Immagine 1061" descr="http://demaco.consob/ArchiflowWeb/images/indicator.gif">
          <a:extLst>
            <a:ext uri="{FF2B5EF4-FFF2-40B4-BE49-F238E27FC236}">
              <a16:creationId xmlns:a16="http://schemas.microsoft.com/office/drawing/2014/main" id="{27C32D07-890B-4ACC-9889-C6DB67CB1383}"/>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666</xdr:row>
      <xdr:rowOff>0</xdr:rowOff>
    </xdr:from>
    <xdr:ext cx="152400" cy="152400"/>
    <xdr:pic>
      <xdr:nvPicPr>
        <xdr:cNvPr id="1063" name="Immagine 1062" descr="http://demaco.consob/ArchiflowWeb/images/indicator.gif">
          <a:extLst>
            <a:ext uri="{FF2B5EF4-FFF2-40B4-BE49-F238E27FC236}">
              <a16:creationId xmlns:a16="http://schemas.microsoft.com/office/drawing/2014/main" id="{D2283DFA-3259-414E-B6D0-03F088EAB984}"/>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666</xdr:row>
      <xdr:rowOff>0</xdr:rowOff>
    </xdr:from>
    <xdr:ext cx="152400" cy="152400"/>
    <xdr:pic>
      <xdr:nvPicPr>
        <xdr:cNvPr id="1064" name="Immagine 1063" descr="http://demaco.consob/ArchiflowWeb/images/indicator.gif">
          <a:extLst>
            <a:ext uri="{FF2B5EF4-FFF2-40B4-BE49-F238E27FC236}">
              <a16:creationId xmlns:a16="http://schemas.microsoft.com/office/drawing/2014/main" id="{3AFF01F3-073A-4F26-AC3A-D38C558D23AB}"/>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666</xdr:row>
      <xdr:rowOff>0</xdr:rowOff>
    </xdr:from>
    <xdr:ext cx="152400" cy="152400"/>
    <xdr:pic>
      <xdr:nvPicPr>
        <xdr:cNvPr id="1065" name="Immagine 1064" descr="http://demaco.consob/ArchiflowWeb/images/indicator.gif">
          <a:extLst>
            <a:ext uri="{FF2B5EF4-FFF2-40B4-BE49-F238E27FC236}">
              <a16:creationId xmlns:a16="http://schemas.microsoft.com/office/drawing/2014/main" id="{DFD3992A-8A90-4441-976F-CA252E956317}"/>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666</xdr:row>
      <xdr:rowOff>0</xdr:rowOff>
    </xdr:from>
    <xdr:ext cx="152400" cy="152400"/>
    <xdr:pic>
      <xdr:nvPicPr>
        <xdr:cNvPr id="1066" name="Immagine 1065" descr="http://demaco.consob/ArchiflowWeb/images/indicator.gif">
          <a:extLst>
            <a:ext uri="{FF2B5EF4-FFF2-40B4-BE49-F238E27FC236}">
              <a16:creationId xmlns:a16="http://schemas.microsoft.com/office/drawing/2014/main" id="{5F503E89-A61B-477E-8FE0-D1B3AD48C444}"/>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666</xdr:row>
      <xdr:rowOff>0</xdr:rowOff>
    </xdr:from>
    <xdr:ext cx="152400" cy="152400"/>
    <xdr:pic>
      <xdr:nvPicPr>
        <xdr:cNvPr id="1067" name="Immagine 1066" descr="http://demaco.consob/ArchiflowWeb/images/indicator.gif">
          <a:extLst>
            <a:ext uri="{FF2B5EF4-FFF2-40B4-BE49-F238E27FC236}">
              <a16:creationId xmlns:a16="http://schemas.microsoft.com/office/drawing/2014/main" id="{BBD08251-7BDC-473F-BF86-1150EAE2F359}"/>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666</xdr:row>
      <xdr:rowOff>0</xdr:rowOff>
    </xdr:from>
    <xdr:ext cx="152400" cy="152400"/>
    <xdr:pic>
      <xdr:nvPicPr>
        <xdr:cNvPr id="1068" name="Immagine 1067" descr="http://demaco.consob/ArchiflowWeb/images/indicator.gif">
          <a:extLst>
            <a:ext uri="{FF2B5EF4-FFF2-40B4-BE49-F238E27FC236}">
              <a16:creationId xmlns:a16="http://schemas.microsoft.com/office/drawing/2014/main" id="{5CED2AA1-80B0-4401-AE61-D4157001A448}"/>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666</xdr:row>
      <xdr:rowOff>0</xdr:rowOff>
    </xdr:from>
    <xdr:ext cx="152400" cy="152400"/>
    <xdr:pic>
      <xdr:nvPicPr>
        <xdr:cNvPr id="1069" name="Immagine 1068" descr="http://demaco.consob/ArchiflowWeb/images/indicator.gif">
          <a:extLst>
            <a:ext uri="{FF2B5EF4-FFF2-40B4-BE49-F238E27FC236}">
              <a16:creationId xmlns:a16="http://schemas.microsoft.com/office/drawing/2014/main" id="{02590B5A-5374-4856-942A-CEFC4233B7E4}"/>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666</xdr:row>
      <xdr:rowOff>0</xdr:rowOff>
    </xdr:from>
    <xdr:ext cx="152400" cy="152400"/>
    <xdr:pic>
      <xdr:nvPicPr>
        <xdr:cNvPr id="1070" name="Immagine 1069" descr="http://demaco.consob/ArchiflowWeb/images/indicator.gif">
          <a:extLst>
            <a:ext uri="{FF2B5EF4-FFF2-40B4-BE49-F238E27FC236}">
              <a16:creationId xmlns:a16="http://schemas.microsoft.com/office/drawing/2014/main" id="{8312AAB7-2B25-40C7-852B-945569D794DC}"/>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666</xdr:row>
      <xdr:rowOff>0</xdr:rowOff>
    </xdr:from>
    <xdr:ext cx="152400" cy="152400"/>
    <xdr:pic>
      <xdr:nvPicPr>
        <xdr:cNvPr id="1071" name="Immagine 1070" descr="http://demaco.consob/ArchiflowWeb/images/indicator.gif">
          <a:extLst>
            <a:ext uri="{FF2B5EF4-FFF2-40B4-BE49-F238E27FC236}">
              <a16:creationId xmlns:a16="http://schemas.microsoft.com/office/drawing/2014/main" id="{74AE5C54-C0FF-4C6A-87DF-00CB10899AFA}"/>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666</xdr:row>
      <xdr:rowOff>0</xdr:rowOff>
    </xdr:from>
    <xdr:ext cx="152400" cy="152400"/>
    <xdr:pic>
      <xdr:nvPicPr>
        <xdr:cNvPr id="1072" name="Immagine 1071" descr="http://demaco.consob/ArchiflowWeb/images/indicator.gif">
          <a:extLst>
            <a:ext uri="{FF2B5EF4-FFF2-40B4-BE49-F238E27FC236}">
              <a16:creationId xmlns:a16="http://schemas.microsoft.com/office/drawing/2014/main" id="{CE734023-4BF8-4557-9F37-C2F2B1A85E84}"/>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666</xdr:row>
      <xdr:rowOff>0</xdr:rowOff>
    </xdr:from>
    <xdr:ext cx="152400" cy="152400"/>
    <xdr:pic>
      <xdr:nvPicPr>
        <xdr:cNvPr id="1073" name="Immagine 1072" descr="http://demaco.consob/ArchiflowWeb/images/indicator.gif">
          <a:extLst>
            <a:ext uri="{FF2B5EF4-FFF2-40B4-BE49-F238E27FC236}">
              <a16:creationId xmlns:a16="http://schemas.microsoft.com/office/drawing/2014/main" id="{ACADA077-EAD2-4AEF-B2AC-F364A1643BEE}"/>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666</xdr:row>
      <xdr:rowOff>0</xdr:rowOff>
    </xdr:from>
    <xdr:ext cx="152400" cy="152400"/>
    <xdr:pic>
      <xdr:nvPicPr>
        <xdr:cNvPr id="1074" name="Immagine 1073" descr="http://demaco.consob/ArchiflowWeb/images/indicator.gif">
          <a:extLst>
            <a:ext uri="{FF2B5EF4-FFF2-40B4-BE49-F238E27FC236}">
              <a16:creationId xmlns:a16="http://schemas.microsoft.com/office/drawing/2014/main" id="{1B76B320-C9EB-4A84-9A48-19A4ABF6378C}"/>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666</xdr:row>
      <xdr:rowOff>0</xdr:rowOff>
    </xdr:from>
    <xdr:ext cx="152400" cy="152400"/>
    <xdr:pic>
      <xdr:nvPicPr>
        <xdr:cNvPr id="1075" name="Immagine 1074" descr="http://demaco.consob/ArchiflowWeb/images/indicator.gif">
          <a:extLst>
            <a:ext uri="{FF2B5EF4-FFF2-40B4-BE49-F238E27FC236}">
              <a16:creationId xmlns:a16="http://schemas.microsoft.com/office/drawing/2014/main" id="{CCE46856-AD28-4FEB-B2E9-D9522AE85AB1}"/>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666</xdr:row>
      <xdr:rowOff>0</xdr:rowOff>
    </xdr:from>
    <xdr:ext cx="152400" cy="152400"/>
    <xdr:pic>
      <xdr:nvPicPr>
        <xdr:cNvPr id="1076" name="Immagine 1075" descr="http://demaco.consob/ArchiflowWeb/images/indicator.gif">
          <a:extLst>
            <a:ext uri="{FF2B5EF4-FFF2-40B4-BE49-F238E27FC236}">
              <a16:creationId xmlns:a16="http://schemas.microsoft.com/office/drawing/2014/main" id="{7DB3AA58-4D68-496B-AB7E-5F51A5B1375B}"/>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666</xdr:row>
      <xdr:rowOff>0</xdr:rowOff>
    </xdr:from>
    <xdr:ext cx="152400" cy="152400"/>
    <xdr:pic>
      <xdr:nvPicPr>
        <xdr:cNvPr id="1077" name="Immagine 1076" descr="http://demaco.consob/ArchiflowWeb/images/indicator.gif">
          <a:extLst>
            <a:ext uri="{FF2B5EF4-FFF2-40B4-BE49-F238E27FC236}">
              <a16:creationId xmlns:a16="http://schemas.microsoft.com/office/drawing/2014/main" id="{351BE0BD-C3E4-49B3-BCF6-E90C06F8BB92}"/>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666</xdr:row>
      <xdr:rowOff>0</xdr:rowOff>
    </xdr:from>
    <xdr:ext cx="152400" cy="152400"/>
    <xdr:pic>
      <xdr:nvPicPr>
        <xdr:cNvPr id="1078" name="Immagine 1077" descr="http://demaco.consob/ArchiflowWeb/images/indicator.gif">
          <a:extLst>
            <a:ext uri="{FF2B5EF4-FFF2-40B4-BE49-F238E27FC236}">
              <a16:creationId xmlns:a16="http://schemas.microsoft.com/office/drawing/2014/main" id="{349DCF1C-6B5A-4241-8A0F-477535E3F332}"/>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666</xdr:row>
      <xdr:rowOff>0</xdr:rowOff>
    </xdr:from>
    <xdr:ext cx="152400" cy="152400"/>
    <xdr:pic>
      <xdr:nvPicPr>
        <xdr:cNvPr id="1079" name="Immagine 1078" descr="http://demaco.consob/ArchiflowWeb/images/indicator.gif">
          <a:extLst>
            <a:ext uri="{FF2B5EF4-FFF2-40B4-BE49-F238E27FC236}">
              <a16:creationId xmlns:a16="http://schemas.microsoft.com/office/drawing/2014/main" id="{6781C9A8-FD1C-4FF6-9A6A-8D3A19FB5865}"/>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666</xdr:row>
      <xdr:rowOff>0</xdr:rowOff>
    </xdr:from>
    <xdr:ext cx="152400" cy="152400"/>
    <xdr:pic>
      <xdr:nvPicPr>
        <xdr:cNvPr id="1080" name="Immagine 1079" descr="http://demaco.consob/ArchiflowWeb/images/indicator.gif">
          <a:extLst>
            <a:ext uri="{FF2B5EF4-FFF2-40B4-BE49-F238E27FC236}">
              <a16:creationId xmlns:a16="http://schemas.microsoft.com/office/drawing/2014/main" id="{75B520D6-0407-4C48-97E0-BA621814F60E}"/>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666</xdr:row>
      <xdr:rowOff>0</xdr:rowOff>
    </xdr:from>
    <xdr:ext cx="152400" cy="152400"/>
    <xdr:pic>
      <xdr:nvPicPr>
        <xdr:cNvPr id="1081" name="Immagine 1080" descr="http://demaco.consob/ArchiflowWeb/images/indicator.gif">
          <a:extLst>
            <a:ext uri="{FF2B5EF4-FFF2-40B4-BE49-F238E27FC236}">
              <a16:creationId xmlns:a16="http://schemas.microsoft.com/office/drawing/2014/main" id="{4EFD8009-5280-4F63-AB6E-46F20392758E}"/>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666</xdr:row>
      <xdr:rowOff>0</xdr:rowOff>
    </xdr:from>
    <xdr:ext cx="152400" cy="152400"/>
    <xdr:pic>
      <xdr:nvPicPr>
        <xdr:cNvPr id="1082" name="Immagine 1081" descr="http://demaco.consob/ArchiflowWeb/images/indicator.gif">
          <a:extLst>
            <a:ext uri="{FF2B5EF4-FFF2-40B4-BE49-F238E27FC236}">
              <a16:creationId xmlns:a16="http://schemas.microsoft.com/office/drawing/2014/main" id="{71C14F6F-5367-42C7-9FBB-216E30F01FCF}"/>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666</xdr:row>
      <xdr:rowOff>0</xdr:rowOff>
    </xdr:from>
    <xdr:ext cx="152400" cy="152400"/>
    <xdr:pic>
      <xdr:nvPicPr>
        <xdr:cNvPr id="1083" name="Immagine 1082" descr="http://demaco.consob/ArchiflowWeb/images/indicator.gif">
          <a:extLst>
            <a:ext uri="{FF2B5EF4-FFF2-40B4-BE49-F238E27FC236}">
              <a16:creationId xmlns:a16="http://schemas.microsoft.com/office/drawing/2014/main" id="{29E1D84E-AC59-416D-9655-BA50F93AAA18}"/>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666</xdr:row>
      <xdr:rowOff>0</xdr:rowOff>
    </xdr:from>
    <xdr:ext cx="152400" cy="152400"/>
    <xdr:pic>
      <xdr:nvPicPr>
        <xdr:cNvPr id="1084" name="Immagine 1083" descr="http://demaco.consob/ArchiflowWeb/images/indicator.gif">
          <a:extLst>
            <a:ext uri="{FF2B5EF4-FFF2-40B4-BE49-F238E27FC236}">
              <a16:creationId xmlns:a16="http://schemas.microsoft.com/office/drawing/2014/main" id="{8B9B8230-405E-409B-94FF-3FC563B38595}"/>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666</xdr:row>
      <xdr:rowOff>0</xdr:rowOff>
    </xdr:from>
    <xdr:ext cx="152400" cy="152400"/>
    <xdr:pic>
      <xdr:nvPicPr>
        <xdr:cNvPr id="1085" name="Immagine 1084" descr="http://demaco.consob/ArchiflowWeb/images/indicator.gif">
          <a:extLst>
            <a:ext uri="{FF2B5EF4-FFF2-40B4-BE49-F238E27FC236}">
              <a16:creationId xmlns:a16="http://schemas.microsoft.com/office/drawing/2014/main" id="{34A88A34-8C78-483C-9A9E-99D6678CA9BB}"/>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666</xdr:row>
      <xdr:rowOff>0</xdr:rowOff>
    </xdr:from>
    <xdr:ext cx="152400" cy="152400"/>
    <xdr:pic>
      <xdr:nvPicPr>
        <xdr:cNvPr id="1086" name="Immagine 1085" descr="http://demaco.consob/ArchiflowWeb/images/indicator.gif">
          <a:extLst>
            <a:ext uri="{FF2B5EF4-FFF2-40B4-BE49-F238E27FC236}">
              <a16:creationId xmlns:a16="http://schemas.microsoft.com/office/drawing/2014/main" id="{06053291-0359-4E8C-96D2-5D94E9BE4F5B}"/>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666</xdr:row>
      <xdr:rowOff>0</xdr:rowOff>
    </xdr:from>
    <xdr:ext cx="152400" cy="152400"/>
    <xdr:pic>
      <xdr:nvPicPr>
        <xdr:cNvPr id="1087" name="Immagine 1086" descr="http://demaco.consob/ArchiflowWeb/images/indicator.gif">
          <a:extLst>
            <a:ext uri="{FF2B5EF4-FFF2-40B4-BE49-F238E27FC236}">
              <a16:creationId xmlns:a16="http://schemas.microsoft.com/office/drawing/2014/main" id="{904C8761-F1FD-4CBD-8824-DF38CDB44E75}"/>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666</xdr:row>
      <xdr:rowOff>0</xdr:rowOff>
    </xdr:from>
    <xdr:ext cx="152400" cy="152400"/>
    <xdr:pic>
      <xdr:nvPicPr>
        <xdr:cNvPr id="1088" name="Immagine 1087" descr="http://demaco.consob/ArchiflowWeb/images/indicator.gif">
          <a:extLst>
            <a:ext uri="{FF2B5EF4-FFF2-40B4-BE49-F238E27FC236}">
              <a16:creationId xmlns:a16="http://schemas.microsoft.com/office/drawing/2014/main" id="{BFD905D7-95AF-4F4C-B100-2E7771A192AB}"/>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666</xdr:row>
      <xdr:rowOff>0</xdr:rowOff>
    </xdr:from>
    <xdr:ext cx="152400" cy="152400"/>
    <xdr:pic>
      <xdr:nvPicPr>
        <xdr:cNvPr id="1089" name="Immagine 1088" descr="http://demaco.consob/ArchiflowWeb/images/indicator.gif">
          <a:extLst>
            <a:ext uri="{FF2B5EF4-FFF2-40B4-BE49-F238E27FC236}">
              <a16:creationId xmlns:a16="http://schemas.microsoft.com/office/drawing/2014/main" id="{D4E13078-91BB-4E06-8CBC-348B5D007A99}"/>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666</xdr:row>
      <xdr:rowOff>0</xdr:rowOff>
    </xdr:from>
    <xdr:ext cx="152400" cy="152400"/>
    <xdr:pic>
      <xdr:nvPicPr>
        <xdr:cNvPr id="1090" name="Immagine 1089" descr="http://demaco.consob/ArchiflowWeb/images/indicator.gif">
          <a:extLst>
            <a:ext uri="{FF2B5EF4-FFF2-40B4-BE49-F238E27FC236}">
              <a16:creationId xmlns:a16="http://schemas.microsoft.com/office/drawing/2014/main" id="{F8FD2DB3-F0EC-4731-A037-E7CCB1EA0D3B}"/>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666</xdr:row>
      <xdr:rowOff>0</xdr:rowOff>
    </xdr:from>
    <xdr:ext cx="152400" cy="152400"/>
    <xdr:pic>
      <xdr:nvPicPr>
        <xdr:cNvPr id="1091" name="Immagine 1090" descr="http://demaco.consob/ArchiflowWeb/images/indicator.gif">
          <a:extLst>
            <a:ext uri="{FF2B5EF4-FFF2-40B4-BE49-F238E27FC236}">
              <a16:creationId xmlns:a16="http://schemas.microsoft.com/office/drawing/2014/main" id="{694290FE-0A6C-462E-8B4A-3EF13618E9DD}"/>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666</xdr:row>
      <xdr:rowOff>0</xdr:rowOff>
    </xdr:from>
    <xdr:ext cx="152400" cy="152400"/>
    <xdr:pic>
      <xdr:nvPicPr>
        <xdr:cNvPr id="1092" name="Immagine 1091" descr="http://demaco.consob/ArchiflowWeb/images/indicator.gif">
          <a:extLst>
            <a:ext uri="{FF2B5EF4-FFF2-40B4-BE49-F238E27FC236}">
              <a16:creationId xmlns:a16="http://schemas.microsoft.com/office/drawing/2014/main" id="{82A14CC5-63D4-41A0-B398-04B82E3D92CE}"/>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666</xdr:row>
      <xdr:rowOff>0</xdr:rowOff>
    </xdr:from>
    <xdr:ext cx="152400" cy="152400"/>
    <xdr:pic>
      <xdr:nvPicPr>
        <xdr:cNvPr id="1093" name="Immagine 1092" descr="http://demaco.consob/ArchiflowWeb/images/indicator.gif">
          <a:extLst>
            <a:ext uri="{FF2B5EF4-FFF2-40B4-BE49-F238E27FC236}">
              <a16:creationId xmlns:a16="http://schemas.microsoft.com/office/drawing/2014/main" id="{FA1EAD17-27FE-4685-A026-EBF1DE5CDED9}"/>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666</xdr:row>
      <xdr:rowOff>0</xdr:rowOff>
    </xdr:from>
    <xdr:ext cx="152400" cy="152400"/>
    <xdr:pic>
      <xdr:nvPicPr>
        <xdr:cNvPr id="1094" name="Immagine 1093" descr="http://demaco.consob/ArchiflowWeb/images/indicator.gif">
          <a:extLst>
            <a:ext uri="{FF2B5EF4-FFF2-40B4-BE49-F238E27FC236}">
              <a16:creationId xmlns:a16="http://schemas.microsoft.com/office/drawing/2014/main" id="{83E507D0-0DFE-4FA3-A89F-D97AC7F85AC4}"/>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666</xdr:row>
      <xdr:rowOff>0</xdr:rowOff>
    </xdr:from>
    <xdr:ext cx="152400" cy="152400"/>
    <xdr:pic>
      <xdr:nvPicPr>
        <xdr:cNvPr id="1095" name="Immagine 1094" descr="http://demaco.consob/ArchiflowWeb/images/indicator.gif">
          <a:extLst>
            <a:ext uri="{FF2B5EF4-FFF2-40B4-BE49-F238E27FC236}">
              <a16:creationId xmlns:a16="http://schemas.microsoft.com/office/drawing/2014/main" id="{2F9E2D21-F7CD-4AE2-88D5-0A72CB62FB0B}"/>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666</xdr:row>
      <xdr:rowOff>0</xdr:rowOff>
    </xdr:from>
    <xdr:ext cx="152400" cy="152400"/>
    <xdr:pic>
      <xdr:nvPicPr>
        <xdr:cNvPr id="1096" name="Immagine 1095" descr="http://demaco.consob/ArchiflowWeb/images/indicator.gif">
          <a:extLst>
            <a:ext uri="{FF2B5EF4-FFF2-40B4-BE49-F238E27FC236}">
              <a16:creationId xmlns:a16="http://schemas.microsoft.com/office/drawing/2014/main" id="{662B022B-6467-4033-A404-D24FF35E1C8D}"/>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666</xdr:row>
      <xdr:rowOff>0</xdr:rowOff>
    </xdr:from>
    <xdr:ext cx="152400" cy="152400"/>
    <xdr:pic>
      <xdr:nvPicPr>
        <xdr:cNvPr id="1097" name="Immagine 1096" descr="http://demaco.consob/ArchiflowWeb/images/indicator.gif">
          <a:extLst>
            <a:ext uri="{FF2B5EF4-FFF2-40B4-BE49-F238E27FC236}">
              <a16:creationId xmlns:a16="http://schemas.microsoft.com/office/drawing/2014/main" id="{72962F0D-B0F5-4183-844D-D477A95D3488}"/>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666</xdr:row>
      <xdr:rowOff>0</xdr:rowOff>
    </xdr:from>
    <xdr:ext cx="152400" cy="152400"/>
    <xdr:pic>
      <xdr:nvPicPr>
        <xdr:cNvPr id="1098" name="Immagine 1097" descr="http://demaco.consob/ArchiflowWeb/images/indicator.gif">
          <a:extLst>
            <a:ext uri="{FF2B5EF4-FFF2-40B4-BE49-F238E27FC236}">
              <a16:creationId xmlns:a16="http://schemas.microsoft.com/office/drawing/2014/main" id="{9331D3B2-BE2A-4899-964F-2D75EC8ECEFB}"/>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666</xdr:row>
      <xdr:rowOff>0</xdr:rowOff>
    </xdr:from>
    <xdr:ext cx="152400" cy="152400"/>
    <xdr:pic>
      <xdr:nvPicPr>
        <xdr:cNvPr id="1099" name="Immagine 1098" descr="http://demaco.consob/ArchiflowWeb/images/indicator.gif">
          <a:extLst>
            <a:ext uri="{FF2B5EF4-FFF2-40B4-BE49-F238E27FC236}">
              <a16:creationId xmlns:a16="http://schemas.microsoft.com/office/drawing/2014/main" id="{D7D1D103-0505-44CF-9679-0B0ED7AC9A2A}"/>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666</xdr:row>
      <xdr:rowOff>0</xdr:rowOff>
    </xdr:from>
    <xdr:ext cx="152400" cy="152400"/>
    <xdr:pic>
      <xdr:nvPicPr>
        <xdr:cNvPr id="1100" name="Immagine 1099" descr="http://demaco.consob/ArchiflowWeb/images/indicator.gif">
          <a:extLst>
            <a:ext uri="{FF2B5EF4-FFF2-40B4-BE49-F238E27FC236}">
              <a16:creationId xmlns:a16="http://schemas.microsoft.com/office/drawing/2014/main" id="{1AF775C5-577A-4908-90A5-5AE2D21E6645}"/>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666</xdr:row>
      <xdr:rowOff>0</xdr:rowOff>
    </xdr:from>
    <xdr:ext cx="152400" cy="152400"/>
    <xdr:pic>
      <xdr:nvPicPr>
        <xdr:cNvPr id="1101" name="Immagine 1100" descr="http://demaco.consob/ArchiflowWeb/images/indicator.gif">
          <a:extLst>
            <a:ext uri="{FF2B5EF4-FFF2-40B4-BE49-F238E27FC236}">
              <a16:creationId xmlns:a16="http://schemas.microsoft.com/office/drawing/2014/main" id="{6688F32D-5E15-47BA-8477-E7AC0CE0F866}"/>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666</xdr:row>
      <xdr:rowOff>0</xdr:rowOff>
    </xdr:from>
    <xdr:ext cx="152400" cy="152400"/>
    <xdr:pic>
      <xdr:nvPicPr>
        <xdr:cNvPr id="1102" name="Immagine 1101" descr="http://demaco.consob/ArchiflowWeb/images/indicator.gif">
          <a:extLst>
            <a:ext uri="{FF2B5EF4-FFF2-40B4-BE49-F238E27FC236}">
              <a16:creationId xmlns:a16="http://schemas.microsoft.com/office/drawing/2014/main" id="{3F247211-1E92-4493-BDE5-D0CC6E70034C}"/>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666</xdr:row>
      <xdr:rowOff>0</xdr:rowOff>
    </xdr:from>
    <xdr:ext cx="152400" cy="152400"/>
    <xdr:pic>
      <xdr:nvPicPr>
        <xdr:cNvPr id="1103" name="Immagine 1102" descr="http://demaco.consob/ArchiflowWeb/images/indicator.gif">
          <a:extLst>
            <a:ext uri="{FF2B5EF4-FFF2-40B4-BE49-F238E27FC236}">
              <a16:creationId xmlns:a16="http://schemas.microsoft.com/office/drawing/2014/main" id="{5A973D0F-C0CD-4059-8575-61480A5F661E}"/>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666</xdr:row>
      <xdr:rowOff>0</xdr:rowOff>
    </xdr:from>
    <xdr:ext cx="152400" cy="152400"/>
    <xdr:pic>
      <xdr:nvPicPr>
        <xdr:cNvPr id="1104" name="Immagine 1103" descr="http://demaco.consob/ArchiflowWeb/images/indicator.gif">
          <a:extLst>
            <a:ext uri="{FF2B5EF4-FFF2-40B4-BE49-F238E27FC236}">
              <a16:creationId xmlns:a16="http://schemas.microsoft.com/office/drawing/2014/main" id="{424AD135-1CB2-4013-B624-1FC9248CB692}"/>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666</xdr:row>
      <xdr:rowOff>0</xdr:rowOff>
    </xdr:from>
    <xdr:ext cx="152400" cy="152400"/>
    <xdr:pic>
      <xdr:nvPicPr>
        <xdr:cNvPr id="1105" name="Immagine 1104" descr="http://demaco.consob/ArchiflowWeb/images/indicator.gif">
          <a:extLst>
            <a:ext uri="{FF2B5EF4-FFF2-40B4-BE49-F238E27FC236}">
              <a16:creationId xmlns:a16="http://schemas.microsoft.com/office/drawing/2014/main" id="{22772ED6-3D90-4AE7-ACD9-19760CDE2C4B}"/>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666</xdr:row>
      <xdr:rowOff>0</xdr:rowOff>
    </xdr:from>
    <xdr:ext cx="152400" cy="152400"/>
    <xdr:pic>
      <xdr:nvPicPr>
        <xdr:cNvPr id="1106" name="Immagine 1105" descr="http://demaco.consob/ArchiflowWeb/images/indicator.gif">
          <a:extLst>
            <a:ext uri="{FF2B5EF4-FFF2-40B4-BE49-F238E27FC236}">
              <a16:creationId xmlns:a16="http://schemas.microsoft.com/office/drawing/2014/main" id="{1A73DC5A-9B89-4491-9259-0826C0566B5A}"/>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666</xdr:row>
      <xdr:rowOff>0</xdr:rowOff>
    </xdr:from>
    <xdr:ext cx="152400" cy="152400"/>
    <xdr:pic>
      <xdr:nvPicPr>
        <xdr:cNvPr id="1107" name="Immagine 1106" descr="http://demaco.consob/ArchiflowWeb/images/indicator.gif">
          <a:extLst>
            <a:ext uri="{FF2B5EF4-FFF2-40B4-BE49-F238E27FC236}">
              <a16:creationId xmlns:a16="http://schemas.microsoft.com/office/drawing/2014/main" id="{B7F79732-12A0-498E-B74D-A97C4BB5BA0D}"/>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666</xdr:row>
      <xdr:rowOff>0</xdr:rowOff>
    </xdr:from>
    <xdr:ext cx="152400" cy="152400"/>
    <xdr:pic>
      <xdr:nvPicPr>
        <xdr:cNvPr id="1108" name="Immagine 1107" descr="http://demaco.consob/ArchiflowWeb/images/indicator.gif">
          <a:extLst>
            <a:ext uri="{FF2B5EF4-FFF2-40B4-BE49-F238E27FC236}">
              <a16:creationId xmlns:a16="http://schemas.microsoft.com/office/drawing/2014/main" id="{B631E18E-4845-46E6-A86F-B38C7B053B98}"/>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666</xdr:row>
      <xdr:rowOff>0</xdr:rowOff>
    </xdr:from>
    <xdr:ext cx="152400" cy="152400"/>
    <xdr:pic>
      <xdr:nvPicPr>
        <xdr:cNvPr id="1109" name="Immagine 1108" descr="http://demaco.consob/ArchiflowWeb/images/indicator.gif">
          <a:extLst>
            <a:ext uri="{FF2B5EF4-FFF2-40B4-BE49-F238E27FC236}">
              <a16:creationId xmlns:a16="http://schemas.microsoft.com/office/drawing/2014/main" id="{318D2EDA-7D70-4AE3-94E0-1062C6AA646E}"/>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666</xdr:row>
      <xdr:rowOff>0</xdr:rowOff>
    </xdr:from>
    <xdr:ext cx="152400" cy="152400"/>
    <xdr:pic>
      <xdr:nvPicPr>
        <xdr:cNvPr id="1110" name="Immagine 1109" descr="http://demaco.consob/ArchiflowWeb/images/indicator.gif">
          <a:extLst>
            <a:ext uri="{FF2B5EF4-FFF2-40B4-BE49-F238E27FC236}">
              <a16:creationId xmlns:a16="http://schemas.microsoft.com/office/drawing/2014/main" id="{48F5D631-474A-49DB-815F-94D001976B46}"/>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666</xdr:row>
      <xdr:rowOff>0</xdr:rowOff>
    </xdr:from>
    <xdr:ext cx="152400" cy="152400"/>
    <xdr:pic>
      <xdr:nvPicPr>
        <xdr:cNvPr id="1111" name="Immagine 1110" descr="http://demaco.consob/ArchiflowWeb/images/indicator.gif">
          <a:extLst>
            <a:ext uri="{FF2B5EF4-FFF2-40B4-BE49-F238E27FC236}">
              <a16:creationId xmlns:a16="http://schemas.microsoft.com/office/drawing/2014/main" id="{1412488A-FB28-4063-9D88-35E611797338}"/>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666</xdr:row>
      <xdr:rowOff>0</xdr:rowOff>
    </xdr:from>
    <xdr:ext cx="152400" cy="152400"/>
    <xdr:pic>
      <xdr:nvPicPr>
        <xdr:cNvPr id="1112" name="Immagine 1111" descr="http://demaco.consob/ArchiflowWeb/images/indicator.gif">
          <a:extLst>
            <a:ext uri="{FF2B5EF4-FFF2-40B4-BE49-F238E27FC236}">
              <a16:creationId xmlns:a16="http://schemas.microsoft.com/office/drawing/2014/main" id="{F2678EDB-D0B7-43C0-B185-42EE21E5F0B4}"/>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666</xdr:row>
      <xdr:rowOff>0</xdr:rowOff>
    </xdr:from>
    <xdr:ext cx="152400" cy="152400"/>
    <xdr:pic>
      <xdr:nvPicPr>
        <xdr:cNvPr id="1113" name="Immagine 1112" descr="http://demaco.consob/ArchiflowWeb/images/indicator.gif">
          <a:extLst>
            <a:ext uri="{FF2B5EF4-FFF2-40B4-BE49-F238E27FC236}">
              <a16:creationId xmlns:a16="http://schemas.microsoft.com/office/drawing/2014/main" id="{AA7C7080-C0FE-44D4-B4AA-86EBF9054F19}"/>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666</xdr:row>
      <xdr:rowOff>0</xdr:rowOff>
    </xdr:from>
    <xdr:ext cx="152400" cy="152400"/>
    <xdr:pic>
      <xdr:nvPicPr>
        <xdr:cNvPr id="1114" name="Immagine 1113" descr="http://demaco.consob/ArchiflowWeb/images/indicator.gif">
          <a:extLst>
            <a:ext uri="{FF2B5EF4-FFF2-40B4-BE49-F238E27FC236}">
              <a16:creationId xmlns:a16="http://schemas.microsoft.com/office/drawing/2014/main" id="{D9C5DC45-0FFF-43BE-9C6B-363F82784C6B}"/>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666</xdr:row>
      <xdr:rowOff>0</xdr:rowOff>
    </xdr:from>
    <xdr:ext cx="152400" cy="152400"/>
    <xdr:pic>
      <xdr:nvPicPr>
        <xdr:cNvPr id="1115" name="Immagine 1114" descr="http://demaco.consob/ArchiflowWeb/images/indicator.gif">
          <a:extLst>
            <a:ext uri="{FF2B5EF4-FFF2-40B4-BE49-F238E27FC236}">
              <a16:creationId xmlns:a16="http://schemas.microsoft.com/office/drawing/2014/main" id="{9B070DCA-63FF-47D3-8E66-C4C1DE7F9FB9}"/>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666</xdr:row>
      <xdr:rowOff>0</xdr:rowOff>
    </xdr:from>
    <xdr:ext cx="152400" cy="152400"/>
    <xdr:pic>
      <xdr:nvPicPr>
        <xdr:cNvPr id="1116" name="Immagine 1115" descr="http://demaco.consob/ArchiflowWeb/images/indicator.gif">
          <a:extLst>
            <a:ext uri="{FF2B5EF4-FFF2-40B4-BE49-F238E27FC236}">
              <a16:creationId xmlns:a16="http://schemas.microsoft.com/office/drawing/2014/main" id="{BC1150FC-2AF1-4567-88C8-EE860D92EA64}"/>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666</xdr:row>
      <xdr:rowOff>0</xdr:rowOff>
    </xdr:from>
    <xdr:ext cx="152400" cy="152400"/>
    <xdr:pic>
      <xdr:nvPicPr>
        <xdr:cNvPr id="1117" name="Immagine 1116" descr="http://demaco.consob/ArchiflowWeb/images/indicator.gif">
          <a:extLst>
            <a:ext uri="{FF2B5EF4-FFF2-40B4-BE49-F238E27FC236}">
              <a16:creationId xmlns:a16="http://schemas.microsoft.com/office/drawing/2014/main" id="{DCA542EB-7376-471E-9D5A-440D30C85BEB}"/>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666</xdr:row>
      <xdr:rowOff>0</xdr:rowOff>
    </xdr:from>
    <xdr:ext cx="152400" cy="152400"/>
    <xdr:pic>
      <xdr:nvPicPr>
        <xdr:cNvPr id="1118" name="Immagine 1117" descr="http://demaco.consob/ArchiflowWeb/images/indicator.gif">
          <a:extLst>
            <a:ext uri="{FF2B5EF4-FFF2-40B4-BE49-F238E27FC236}">
              <a16:creationId xmlns:a16="http://schemas.microsoft.com/office/drawing/2014/main" id="{E3C1FC67-D8AA-4E23-806D-E67683383C8A}"/>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666</xdr:row>
      <xdr:rowOff>0</xdr:rowOff>
    </xdr:from>
    <xdr:ext cx="152400" cy="152400"/>
    <xdr:pic>
      <xdr:nvPicPr>
        <xdr:cNvPr id="1119" name="Immagine 1118" descr="http://demaco.consob/ArchiflowWeb/images/indicator.gif">
          <a:extLst>
            <a:ext uri="{FF2B5EF4-FFF2-40B4-BE49-F238E27FC236}">
              <a16:creationId xmlns:a16="http://schemas.microsoft.com/office/drawing/2014/main" id="{D56937BE-6F0A-4B11-9E4C-2BFFE598837C}"/>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666</xdr:row>
      <xdr:rowOff>0</xdr:rowOff>
    </xdr:from>
    <xdr:ext cx="152400" cy="152400"/>
    <xdr:pic>
      <xdr:nvPicPr>
        <xdr:cNvPr id="1120" name="Immagine 1119" descr="http://demaco.consob/ArchiflowWeb/images/indicator.gif">
          <a:extLst>
            <a:ext uri="{FF2B5EF4-FFF2-40B4-BE49-F238E27FC236}">
              <a16:creationId xmlns:a16="http://schemas.microsoft.com/office/drawing/2014/main" id="{764983AC-BC53-48DA-9422-B290770E2439}"/>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666</xdr:row>
      <xdr:rowOff>0</xdr:rowOff>
    </xdr:from>
    <xdr:ext cx="152400" cy="152400"/>
    <xdr:pic>
      <xdr:nvPicPr>
        <xdr:cNvPr id="1121" name="Immagine 1120" descr="http://demaco.consob/ArchiflowWeb/images/indicator.gif">
          <a:extLst>
            <a:ext uri="{FF2B5EF4-FFF2-40B4-BE49-F238E27FC236}">
              <a16:creationId xmlns:a16="http://schemas.microsoft.com/office/drawing/2014/main" id="{583E4543-B2DD-46F2-81C5-34F9D873886A}"/>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666</xdr:row>
      <xdr:rowOff>0</xdr:rowOff>
    </xdr:from>
    <xdr:ext cx="152400" cy="152400"/>
    <xdr:pic>
      <xdr:nvPicPr>
        <xdr:cNvPr id="1122" name="Immagine 1121" descr="http://demaco.consob/ArchiflowWeb/images/indicator.gif">
          <a:extLst>
            <a:ext uri="{FF2B5EF4-FFF2-40B4-BE49-F238E27FC236}">
              <a16:creationId xmlns:a16="http://schemas.microsoft.com/office/drawing/2014/main" id="{68582151-4849-4DC0-B0DB-F2A6E742DD8D}"/>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666</xdr:row>
      <xdr:rowOff>0</xdr:rowOff>
    </xdr:from>
    <xdr:ext cx="152400" cy="152400"/>
    <xdr:pic>
      <xdr:nvPicPr>
        <xdr:cNvPr id="1123" name="Immagine 1122" descr="http://demaco.consob/ArchiflowWeb/images/indicator.gif">
          <a:extLst>
            <a:ext uri="{FF2B5EF4-FFF2-40B4-BE49-F238E27FC236}">
              <a16:creationId xmlns:a16="http://schemas.microsoft.com/office/drawing/2014/main" id="{6C4834C5-4385-402E-9C6A-354F89554026}"/>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666</xdr:row>
      <xdr:rowOff>0</xdr:rowOff>
    </xdr:from>
    <xdr:ext cx="152400" cy="152400"/>
    <xdr:pic>
      <xdr:nvPicPr>
        <xdr:cNvPr id="1124" name="Immagine 1123" descr="http://demaco.consob/ArchiflowWeb/images/indicator.gif">
          <a:extLst>
            <a:ext uri="{FF2B5EF4-FFF2-40B4-BE49-F238E27FC236}">
              <a16:creationId xmlns:a16="http://schemas.microsoft.com/office/drawing/2014/main" id="{6744C25F-1D9B-42F5-BBB5-82A32E0F3055}"/>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666</xdr:row>
      <xdr:rowOff>0</xdr:rowOff>
    </xdr:from>
    <xdr:ext cx="152400" cy="152400"/>
    <xdr:pic>
      <xdr:nvPicPr>
        <xdr:cNvPr id="1125" name="Immagine 1124" descr="http://demaco.consob/ArchiflowWeb/images/indicator.gif">
          <a:extLst>
            <a:ext uri="{FF2B5EF4-FFF2-40B4-BE49-F238E27FC236}">
              <a16:creationId xmlns:a16="http://schemas.microsoft.com/office/drawing/2014/main" id="{46003970-7FC2-4234-938C-2074BF3ED772}"/>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666</xdr:row>
      <xdr:rowOff>0</xdr:rowOff>
    </xdr:from>
    <xdr:ext cx="152400" cy="152400"/>
    <xdr:pic>
      <xdr:nvPicPr>
        <xdr:cNvPr id="1126" name="Immagine 1125" descr="http://demaco.consob/ArchiflowWeb/images/indicator.gif">
          <a:extLst>
            <a:ext uri="{FF2B5EF4-FFF2-40B4-BE49-F238E27FC236}">
              <a16:creationId xmlns:a16="http://schemas.microsoft.com/office/drawing/2014/main" id="{C2A0691F-D868-4C07-9FF1-FB27125C1D1C}"/>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666</xdr:row>
      <xdr:rowOff>0</xdr:rowOff>
    </xdr:from>
    <xdr:ext cx="152400" cy="152400"/>
    <xdr:pic>
      <xdr:nvPicPr>
        <xdr:cNvPr id="1127" name="Immagine 1126" descr="http://demaco.consob/ArchiflowWeb/images/indicator.gif">
          <a:extLst>
            <a:ext uri="{FF2B5EF4-FFF2-40B4-BE49-F238E27FC236}">
              <a16:creationId xmlns:a16="http://schemas.microsoft.com/office/drawing/2014/main" id="{9D10ECB0-6F06-4DE1-A3EA-96800EB1CC3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666</xdr:row>
      <xdr:rowOff>0</xdr:rowOff>
    </xdr:from>
    <xdr:ext cx="152400" cy="152400"/>
    <xdr:pic>
      <xdr:nvPicPr>
        <xdr:cNvPr id="1128" name="Immagine 1127" descr="http://demaco.consob/ArchiflowWeb/images/indicator.gif">
          <a:extLst>
            <a:ext uri="{FF2B5EF4-FFF2-40B4-BE49-F238E27FC236}">
              <a16:creationId xmlns:a16="http://schemas.microsoft.com/office/drawing/2014/main" id="{384D8FCD-BDF7-4428-8B38-D127CE24E1DD}"/>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666</xdr:row>
      <xdr:rowOff>0</xdr:rowOff>
    </xdr:from>
    <xdr:ext cx="152400" cy="152400"/>
    <xdr:pic>
      <xdr:nvPicPr>
        <xdr:cNvPr id="1129" name="Immagine 1128" descr="http://demaco.consob/ArchiflowWeb/images/indicator.gif">
          <a:extLst>
            <a:ext uri="{FF2B5EF4-FFF2-40B4-BE49-F238E27FC236}">
              <a16:creationId xmlns:a16="http://schemas.microsoft.com/office/drawing/2014/main" id="{FEF365C6-6D4E-4490-9447-952C30ED12B3}"/>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666</xdr:row>
      <xdr:rowOff>0</xdr:rowOff>
    </xdr:from>
    <xdr:ext cx="152400" cy="152400"/>
    <xdr:pic>
      <xdr:nvPicPr>
        <xdr:cNvPr id="1130" name="Immagine 1129" descr="http://demaco.consob/ArchiflowWeb/images/indicator.gif">
          <a:extLst>
            <a:ext uri="{FF2B5EF4-FFF2-40B4-BE49-F238E27FC236}">
              <a16:creationId xmlns:a16="http://schemas.microsoft.com/office/drawing/2014/main" id="{8E819591-A6F5-4A01-A24A-4A2FA45709A2}"/>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666</xdr:row>
      <xdr:rowOff>0</xdr:rowOff>
    </xdr:from>
    <xdr:ext cx="152400" cy="152400"/>
    <xdr:pic>
      <xdr:nvPicPr>
        <xdr:cNvPr id="1131" name="Immagine 1130" descr="http://demaco.consob/ArchiflowWeb/images/indicator.gif">
          <a:extLst>
            <a:ext uri="{FF2B5EF4-FFF2-40B4-BE49-F238E27FC236}">
              <a16:creationId xmlns:a16="http://schemas.microsoft.com/office/drawing/2014/main" id="{EA5AFD9B-E6AB-449E-95CD-8CF3334F14E3}"/>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666</xdr:row>
      <xdr:rowOff>0</xdr:rowOff>
    </xdr:from>
    <xdr:ext cx="152400" cy="152400"/>
    <xdr:pic>
      <xdr:nvPicPr>
        <xdr:cNvPr id="1132" name="Immagine 1131" descr="http://demaco.consob/ArchiflowWeb/images/indicator.gif">
          <a:extLst>
            <a:ext uri="{FF2B5EF4-FFF2-40B4-BE49-F238E27FC236}">
              <a16:creationId xmlns:a16="http://schemas.microsoft.com/office/drawing/2014/main" id="{A592E082-9C91-4444-9FAC-BD435BD01FCB}"/>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666</xdr:row>
      <xdr:rowOff>0</xdr:rowOff>
    </xdr:from>
    <xdr:ext cx="152400" cy="152400"/>
    <xdr:pic>
      <xdr:nvPicPr>
        <xdr:cNvPr id="1133" name="Immagine 1132" descr="http://demaco.consob/ArchiflowWeb/images/indicator.gif">
          <a:extLst>
            <a:ext uri="{FF2B5EF4-FFF2-40B4-BE49-F238E27FC236}">
              <a16:creationId xmlns:a16="http://schemas.microsoft.com/office/drawing/2014/main" id="{3393F49B-34DA-4E66-ACD7-0CB279779B9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666</xdr:row>
      <xdr:rowOff>0</xdr:rowOff>
    </xdr:from>
    <xdr:ext cx="152400" cy="152400"/>
    <xdr:pic>
      <xdr:nvPicPr>
        <xdr:cNvPr id="1134" name="Immagine 1133" descr="http://demaco.consob/ArchiflowWeb/images/indicator.gif">
          <a:extLst>
            <a:ext uri="{FF2B5EF4-FFF2-40B4-BE49-F238E27FC236}">
              <a16:creationId xmlns:a16="http://schemas.microsoft.com/office/drawing/2014/main" id="{84D435A0-CB23-402A-9782-6F4A53BDF215}"/>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666</xdr:row>
      <xdr:rowOff>0</xdr:rowOff>
    </xdr:from>
    <xdr:ext cx="152400" cy="152400"/>
    <xdr:pic>
      <xdr:nvPicPr>
        <xdr:cNvPr id="1135" name="Immagine 1134" descr="http://demaco.consob/ArchiflowWeb/images/indicator.gif">
          <a:extLst>
            <a:ext uri="{FF2B5EF4-FFF2-40B4-BE49-F238E27FC236}">
              <a16:creationId xmlns:a16="http://schemas.microsoft.com/office/drawing/2014/main" id="{F740F261-3332-4201-A6EC-21236157687C}"/>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666</xdr:row>
      <xdr:rowOff>0</xdr:rowOff>
    </xdr:from>
    <xdr:ext cx="152400" cy="152400"/>
    <xdr:pic>
      <xdr:nvPicPr>
        <xdr:cNvPr id="1136" name="Immagine 1135" descr="http://demaco.consob/ArchiflowWeb/images/indicator.gif">
          <a:extLst>
            <a:ext uri="{FF2B5EF4-FFF2-40B4-BE49-F238E27FC236}">
              <a16:creationId xmlns:a16="http://schemas.microsoft.com/office/drawing/2014/main" id="{5B89CBC3-8CE1-42A6-ADEF-A66B1D9B8376}"/>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666</xdr:row>
      <xdr:rowOff>0</xdr:rowOff>
    </xdr:from>
    <xdr:ext cx="152400" cy="152400"/>
    <xdr:pic>
      <xdr:nvPicPr>
        <xdr:cNvPr id="1137" name="Immagine 1136" descr="http://demaco.consob/ArchiflowWeb/images/indicator.gif">
          <a:extLst>
            <a:ext uri="{FF2B5EF4-FFF2-40B4-BE49-F238E27FC236}">
              <a16:creationId xmlns:a16="http://schemas.microsoft.com/office/drawing/2014/main" id="{98B37447-CCD8-4359-936F-6BEFA9BF9215}"/>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666</xdr:row>
      <xdr:rowOff>0</xdr:rowOff>
    </xdr:from>
    <xdr:ext cx="152400" cy="152400"/>
    <xdr:pic>
      <xdr:nvPicPr>
        <xdr:cNvPr id="1138" name="Immagine 1137" descr="http://demaco.consob/ArchiflowWeb/images/indicator.gif">
          <a:extLst>
            <a:ext uri="{FF2B5EF4-FFF2-40B4-BE49-F238E27FC236}">
              <a16:creationId xmlns:a16="http://schemas.microsoft.com/office/drawing/2014/main" id="{CB86CCF5-8DAE-4264-937C-4B259D612E08}"/>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666</xdr:row>
      <xdr:rowOff>0</xdr:rowOff>
    </xdr:from>
    <xdr:ext cx="152400" cy="152400"/>
    <xdr:pic>
      <xdr:nvPicPr>
        <xdr:cNvPr id="1139" name="Immagine 1138" descr="http://demaco.consob/ArchiflowWeb/images/indicator.gif">
          <a:extLst>
            <a:ext uri="{FF2B5EF4-FFF2-40B4-BE49-F238E27FC236}">
              <a16:creationId xmlns:a16="http://schemas.microsoft.com/office/drawing/2014/main" id="{9823BF18-8EE7-4774-A362-FF586C655397}"/>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666</xdr:row>
      <xdr:rowOff>0</xdr:rowOff>
    </xdr:from>
    <xdr:ext cx="152400" cy="152400"/>
    <xdr:pic>
      <xdr:nvPicPr>
        <xdr:cNvPr id="1140" name="Immagine 1139" descr="http://demaco.consob/ArchiflowWeb/images/indicator.gif">
          <a:extLst>
            <a:ext uri="{FF2B5EF4-FFF2-40B4-BE49-F238E27FC236}">
              <a16:creationId xmlns:a16="http://schemas.microsoft.com/office/drawing/2014/main" id="{F9B53103-06D0-4F2C-ABC8-D450DC60ED6B}"/>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666</xdr:row>
      <xdr:rowOff>0</xdr:rowOff>
    </xdr:from>
    <xdr:ext cx="152400" cy="152400"/>
    <xdr:pic>
      <xdr:nvPicPr>
        <xdr:cNvPr id="1141" name="Immagine 1140" descr="http://demaco.consob/ArchiflowWeb/images/indicator.gif">
          <a:extLst>
            <a:ext uri="{FF2B5EF4-FFF2-40B4-BE49-F238E27FC236}">
              <a16:creationId xmlns:a16="http://schemas.microsoft.com/office/drawing/2014/main" id="{FA316488-8EB0-43A1-9E3A-849A9644E9AA}"/>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666</xdr:row>
      <xdr:rowOff>0</xdr:rowOff>
    </xdr:from>
    <xdr:ext cx="152400" cy="152400"/>
    <xdr:pic>
      <xdr:nvPicPr>
        <xdr:cNvPr id="1142" name="Immagine 1141" descr="http://demaco.consob/ArchiflowWeb/images/indicator.gif">
          <a:extLst>
            <a:ext uri="{FF2B5EF4-FFF2-40B4-BE49-F238E27FC236}">
              <a16:creationId xmlns:a16="http://schemas.microsoft.com/office/drawing/2014/main" id="{91DE6DAF-D0CB-4233-A21A-4366712F054C}"/>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666</xdr:row>
      <xdr:rowOff>0</xdr:rowOff>
    </xdr:from>
    <xdr:ext cx="152400" cy="152400"/>
    <xdr:pic>
      <xdr:nvPicPr>
        <xdr:cNvPr id="1143" name="Immagine 1142" descr="http://demaco.consob/ArchiflowWeb/images/indicator.gif">
          <a:extLst>
            <a:ext uri="{FF2B5EF4-FFF2-40B4-BE49-F238E27FC236}">
              <a16:creationId xmlns:a16="http://schemas.microsoft.com/office/drawing/2014/main" id="{9A6F29B9-5256-42F1-B153-38CFEAC29A8D}"/>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666</xdr:row>
      <xdr:rowOff>0</xdr:rowOff>
    </xdr:from>
    <xdr:ext cx="152400" cy="152400"/>
    <xdr:pic>
      <xdr:nvPicPr>
        <xdr:cNvPr id="1144" name="Immagine 1143" descr="http://demaco.consob/ArchiflowWeb/images/indicator.gif">
          <a:extLst>
            <a:ext uri="{FF2B5EF4-FFF2-40B4-BE49-F238E27FC236}">
              <a16:creationId xmlns:a16="http://schemas.microsoft.com/office/drawing/2014/main" id="{98DF9036-F81D-4CD9-B7F4-5CE4BB1F783B}"/>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666</xdr:row>
      <xdr:rowOff>0</xdr:rowOff>
    </xdr:from>
    <xdr:ext cx="152400" cy="152400"/>
    <xdr:pic>
      <xdr:nvPicPr>
        <xdr:cNvPr id="1145" name="Immagine 1144" descr="http://demaco.consob/ArchiflowWeb/images/indicator.gif">
          <a:extLst>
            <a:ext uri="{FF2B5EF4-FFF2-40B4-BE49-F238E27FC236}">
              <a16:creationId xmlns:a16="http://schemas.microsoft.com/office/drawing/2014/main" id="{9708B9FD-A39F-41AF-A270-4C48C44F8DF8}"/>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666</xdr:row>
      <xdr:rowOff>0</xdr:rowOff>
    </xdr:from>
    <xdr:ext cx="152400" cy="152400"/>
    <xdr:pic>
      <xdr:nvPicPr>
        <xdr:cNvPr id="1146" name="Immagine 1145" descr="http://demaco.consob/ArchiflowWeb/images/indicator.gif">
          <a:extLst>
            <a:ext uri="{FF2B5EF4-FFF2-40B4-BE49-F238E27FC236}">
              <a16:creationId xmlns:a16="http://schemas.microsoft.com/office/drawing/2014/main" id="{F642FF56-DCE3-465A-A8AA-84E31B2D893D}"/>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666</xdr:row>
      <xdr:rowOff>0</xdr:rowOff>
    </xdr:from>
    <xdr:ext cx="152400" cy="152400"/>
    <xdr:pic>
      <xdr:nvPicPr>
        <xdr:cNvPr id="1147" name="Immagine 1146" descr="http://demaco.consob/ArchiflowWeb/images/indicator.gif">
          <a:extLst>
            <a:ext uri="{FF2B5EF4-FFF2-40B4-BE49-F238E27FC236}">
              <a16:creationId xmlns:a16="http://schemas.microsoft.com/office/drawing/2014/main" id="{38DB61D7-DD69-455C-AC56-03E26DB04FCD}"/>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666</xdr:row>
      <xdr:rowOff>0</xdr:rowOff>
    </xdr:from>
    <xdr:ext cx="152400" cy="152400"/>
    <xdr:pic>
      <xdr:nvPicPr>
        <xdr:cNvPr id="1148" name="Immagine 1147" descr="http://demaco.consob/ArchiflowWeb/images/indicator.gif">
          <a:extLst>
            <a:ext uri="{FF2B5EF4-FFF2-40B4-BE49-F238E27FC236}">
              <a16:creationId xmlns:a16="http://schemas.microsoft.com/office/drawing/2014/main" id="{31306201-723F-46E8-A4E2-66BB3F03FED7}"/>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666</xdr:row>
      <xdr:rowOff>0</xdr:rowOff>
    </xdr:from>
    <xdr:ext cx="152400" cy="152400"/>
    <xdr:pic>
      <xdr:nvPicPr>
        <xdr:cNvPr id="1149" name="Immagine 1148" descr="http://demaco.consob/ArchiflowWeb/images/indicator.gif">
          <a:extLst>
            <a:ext uri="{FF2B5EF4-FFF2-40B4-BE49-F238E27FC236}">
              <a16:creationId xmlns:a16="http://schemas.microsoft.com/office/drawing/2014/main" id="{034A92A4-4EE9-48EF-ABB0-4F547307571D}"/>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666</xdr:row>
      <xdr:rowOff>0</xdr:rowOff>
    </xdr:from>
    <xdr:ext cx="152400" cy="152400"/>
    <xdr:pic>
      <xdr:nvPicPr>
        <xdr:cNvPr id="1150" name="Immagine 1149" descr="http://demaco.consob/ArchiflowWeb/images/indicator.gif">
          <a:extLst>
            <a:ext uri="{FF2B5EF4-FFF2-40B4-BE49-F238E27FC236}">
              <a16:creationId xmlns:a16="http://schemas.microsoft.com/office/drawing/2014/main" id="{A1EB8179-ACFB-4E98-BD6F-7D7C4928B8AB}"/>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666</xdr:row>
      <xdr:rowOff>0</xdr:rowOff>
    </xdr:from>
    <xdr:ext cx="152400" cy="152400"/>
    <xdr:pic>
      <xdr:nvPicPr>
        <xdr:cNvPr id="1151" name="Immagine 1150" descr="http://demaco.consob/ArchiflowWeb/images/indicator.gif">
          <a:extLst>
            <a:ext uri="{FF2B5EF4-FFF2-40B4-BE49-F238E27FC236}">
              <a16:creationId xmlns:a16="http://schemas.microsoft.com/office/drawing/2014/main" id="{7B7E128D-24D8-4425-9F67-A511AC342826}"/>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666</xdr:row>
      <xdr:rowOff>0</xdr:rowOff>
    </xdr:from>
    <xdr:ext cx="152400" cy="152400"/>
    <xdr:pic>
      <xdr:nvPicPr>
        <xdr:cNvPr id="1152" name="Immagine 1151" descr="http://demaco.consob/ArchiflowWeb/images/indicator.gif">
          <a:extLst>
            <a:ext uri="{FF2B5EF4-FFF2-40B4-BE49-F238E27FC236}">
              <a16:creationId xmlns:a16="http://schemas.microsoft.com/office/drawing/2014/main" id="{AB8A291C-CD34-41CE-ABA5-866377C689AF}"/>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666</xdr:row>
      <xdr:rowOff>0</xdr:rowOff>
    </xdr:from>
    <xdr:ext cx="152400" cy="152400"/>
    <xdr:pic>
      <xdr:nvPicPr>
        <xdr:cNvPr id="1153" name="Immagine 1152" descr="http://demaco.consob/ArchiflowWeb/images/indicator.gif">
          <a:extLst>
            <a:ext uri="{FF2B5EF4-FFF2-40B4-BE49-F238E27FC236}">
              <a16:creationId xmlns:a16="http://schemas.microsoft.com/office/drawing/2014/main" id="{6D380361-3BB1-4219-9589-A5AC8A085956}"/>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666</xdr:row>
      <xdr:rowOff>0</xdr:rowOff>
    </xdr:from>
    <xdr:ext cx="152400" cy="152400"/>
    <xdr:pic>
      <xdr:nvPicPr>
        <xdr:cNvPr id="1154" name="Immagine 1153" descr="http://demaco.consob/ArchiflowWeb/images/indicator.gif">
          <a:extLst>
            <a:ext uri="{FF2B5EF4-FFF2-40B4-BE49-F238E27FC236}">
              <a16:creationId xmlns:a16="http://schemas.microsoft.com/office/drawing/2014/main" id="{B942269E-7B7D-45E1-89B7-4915E2F36588}"/>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666</xdr:row>
      <xdr:rowOff>0</xdr:rowOff>
    </xdr:from>
    <xdr:ext cx="152400" cy="152400"/>
    <xdr:pic>
      <xdr:nvPicPr>
        <xdr:cNvPr id="1155" name="Immagine 1154" descr="http://demaco.consob/ArchiflowWeb/images/indicator.gif">
          <a:extLst>
            <a:ext uri="{FF2B5EF4-FFF2-40B4-BE49-F238E27FC236}">
              <a16:creationId xmlns:a16="http://schemas.microsoft.com/office/drawing/2014/main" id="{DB1133A9-C7F4-465F-A9F9-BC68B7D1C007}"/>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666</xdr:row>
      <xdr:rowOff>0</xdr:rowOff>
    </xdr:from>
    <xdr:ext cx="152400" cy="152400"/>
    <xdr:pic>
      <xdr:nvPicPr>
        <xdr:cNvPr id="1156" name="Immagine 1155" descr="http://demaco.consob/ArchiflowWeb/images/indicator.gif">
          <a:extLst>
            <a:ext uri="{FF2B5EF4-FFF2-40B4-BE49-F238E27FC236}">
              <a16:creationId xmlns:a16="http://schemas.microsoft.com/office/drawing/2014/main" id="{1E7E2798-0961-48F9-8171-784D80EEB9D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666</xdr:row>
      <xdr:rowOff>0</xdr:rowOff>
    </xdr:from>
    <xdr:ext cx="152400" cy="152400"/>
    <xdr:pic>
      <xdr:nvPicPr>
        <xdr:cNvPr id="1157" name="Immagine 1156" descr="http://demaco.consob/ArchiflowWeb/images/indicator.gif">
          <a:extLst>
            <a:ext uri="{FF2B5EF4-FFF2-40B4-BE49-F238E27FC236}">
              <a16:creationId xmlns:a16="http://schemas.microsoft.com/office/drawing/2014/main" id="{CFBE2865-8A5C-4B0F-94C1-4F60A083187E}"/>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666</xdr:row>
      <xdr:rowOff>0</xdr:rowOff>
    </xdr:from>
    <xdr:ext cx="152400" cy="152400"/>
    <xdr:pic>
      <xdr:nvPicPr>
        <xdr:cNvPr id="1158" name="Immagine 1157" descr="http://demaco.consob/ArchiflowWeb/images/indicator.gif">
          <a:extLst>
            <a:ext uri="{FF2B5EF4-FFF2-40B4-BE49-F238E27FC236}">
              <a16:creationId xmlns:a16="http://schemas.microsoft.com/office/drawing/2014/main" id="{368DF39A-8481-445F-BD7E-A7376E1DB3E5}"/>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666</xdr:row>
      <xdr:rowOff>0</xdr:rowOff>
    </xdr:from>
    <xdr:ext cx="152400" cy="152400"/>
    <xdr:pic>
      <xdr:nvPicPr>
        <xdr:cNvPr id="1159" name="Immagine 1158" descr="http://demaco.consob/ArchiflowWeb/images/indicator.gif">
          <a:extLst>
            <a:ext uri="{FF2B5EF4-FFF2-40B4-BE49-F238E27FC236}">
              <a16:creationId xmlns:a16="http://schemas.microsoft.com/office/drawing/2014/main" id="{3729FDA9-111E-4695-9472-2863325C85E7}"/>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666</xdr:row>
      <xdr:rowOff>0</xdr:rowOff>
    </xdr:from>
    <xdr:ext cx="152400" cy="152400"/>
    <xdr:pic>
      <xdr:nvPicPr>
        <xdr:cNvPr id="1160" name="Immagine 1159" descr="http://demaco.consob/ArchiflowWeb/images/indicator.gif">
          <a:extLst>
            <a:ext uri="{FF2B5EF4-FFF2-40B4-BE49-F238E27FC236}">
              <a16:creationId xmlns:a16="http://schemas.microsoft.com/office/drawing/2014/main" id="{24BF7882-897A-4065-BC1B-FD46182CC67D}"/>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666</xdr:row>
      <xdr:rowOff>0</xdr:rowOff>
    </xdr:from>
    <xdr:ext cx="152400" cy="152400"/>
    <xdr:pic>
      <xdr:nvPicPr>
        <xdr:cNvPr id="1161" name="Immagine 1160" descr="http://demaco.consob/ArchiflowWeb/images/indicator.gif">
          <a:extLst>
            <a:ext uri="{FF2B5EF4-FFF2-40B4-BE49-F238E27FC236}">
              <a16:creationId xmlns:a16="http://schemas.microsoft.com/office/drawing/2014/main" id="{3DE248E3-3632-46D5-9927-CD0B750FAD4C}"/>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666</xdr:row>
      <xdr:rowOff>0</xdr:rowOff>
    </xdr:from>
    <xdr:ext cx="152400" cy="152400"/>
    <xdr:pic>
      <xdr:nvPicPr>
        <xdr:cNvPr id="1162" name="Immagine 1161" descr="http://demaco.consob/ArchiflowWeb/images/indicator.gif">
          <a:extLst>
            <a:ext uri="{FF2B5EF4-FFF2-40B4-BE49-F238E27FC236}">
              <a16:creationId xmlns:a16="http://schemas.microsoft.com/office/drawing/2014/main" id="{972E14E1-EFBD-4738-B0A2-AE763FF6E2BC}"/>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666</xdr:row>
      <xdr:rowOff>0</xdr:rowOff>
    </xdr:from>
    <xdr:ext cx="152400" cy="152400"/>
    <xdr:pic>
      <xdr:nvPicPr>
        <xdr:cNvPr id="1163" name="Immagine 1162" descr="http://demaco.consob/ArchiflowWeb/images/indicator.gif">
          <a:extLst>
            <a:ext uri="{FF2B5EF4-FFF2-40B4-BE49-F238E27FC236}">
              <a16:creationId xmlns:a16="http://schemas.microsoft.com/office/drawing/2014/main" id="{6AF17F35-BE22-4BFF-B4B6-2B253481C445}"/>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666</xdr:row>
      <xdr:rowOff>0</xdr:rowOff>
    </xdr:from>
    <xdr:ext cx="152400" cy="152400"/>
    <xdr:pic>
      <xdr:nvPicPr>
        <xdr:cNvPr id="1164" name="Immagine 1163" descr="http://demaco.consob/ArchiflowWeb/images/indicator.gif">
          <a:extLst>
            <a:ext uri="{FF2B5EF4-FFF2-40B4-BE49-F238E27FC236}">
              <a16:creationId xmlns:a16="http://schemas.microsoft.com/office/drawing/2014/main" id="{C28540E4-E654-4A1D-806A-0CE620307443}"/>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666</xdr:row>
      <xdr:rowOff>0</xdr:rowOff>
    </xdr:from>
    <xdr:ext cx="152400" cy="152400"/>
    <xdr:pic>
      <xdr:nvPicPr>
        <xdr:cNvPr id="1165" name="Immagine 1164" descr="http://demaco.consob/ArchiflowWeb/images/indicator.gif">
          <a:extLst>
            <a:ext uri="{FF2B5EF4-FFF2-40B4-BE49-F238E27FC236}">
              <a16:creationId xmlns:a16="http://schemas.microsoft.com/office/drawing/2014/main" id="{B4AD5539-0249-4A43-9B04-02F5F92B028B}"/>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666</xdr:row>
      <xdr:rowOff>0</xdr:rowOff>
    </xdr:from>
    <xdr:ext cx="152400" cy="152400"/>
    <xdr:pic>
      <xdr:nvPicPr>
        <xdr:cNvPr id="1166" name="Immagine 1165" descr="http://demaco.consob/ArchiflowWeb/images/indicator.gif">
          <a:extLst>
            <a:ext uri="{FF2B5EF4-FFF2-40B4-BE49-F238E27FC236}">
              <a16:creationId xmlns:a16="http://schemas.microsoft.com/office/drawing/2014/main" id="{D5372DFB-4E00-43EE-8F8F-52B5BB059313}"/>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666</xdr:row>
      <xdr:rowOff>0</xdr:rowOff>
    </xdr:from>
    <xdr:ext cx="152400" cy="152400"/>
    <xdr:pic>
      <xdr:nvPicPr>
        <xdr:cNvPr id="1167" name="Immagine 1166" descr="http://demaco.consob/ArchiflowWeb/images/indicator.gif">
          <a:extLst>
            <a:ext uri="{FF2B5EF4-FFF2-40B4-BE49-F238E27FC236}">
              <a16:creationId xmlns:a16="http://schemas.microsoft.com/office/drawing/2014/main" id="{F6A971CC-FB6D-4D74-A153-50A9D6EFF4F7}"/>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666</xdr:row>
      <xdr:rowOff>0</xdr:rowOff>
    </xdr:from>
    <xdr:ext cx="152400" cy="152400"/>
    <xdr:pic>
      <xdr:nvPicPr>
        <xdr:cNvPr id="1168" name="Immagine 1167" descr="http://demaco.consob/ArchiflowWeb/images/indicator.gif">
          <a:extLst>
            <a:ext uri="{FF2B5EF4-FFF2-40B4-BE49-F238E27FC236}">
              <a16:creationId xmlns:a16="http://schemas.microsoft.com/office/drawing/2014/main" id="{4464435E-9859-4F42-AA7E-B7D9926783A8}"/>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666</xdr:row>
      <xdr:rowOff>0</xdr:rowOff>
    </xdr:from>
    <xdr:ext cx="152400" cy="152400"/>
    <xdr:pic>
      <xdr:nvPicPr>
        <xdr:cNvPr id="1169" name="Immagine 1168" descr="http://demaco.consob/ArchiflowWeb/images/indicator.gif">
          <a:extLst>
            <a:ext uri="{FF2B5EF4-FFF2-40B4-BE49-F238E27FC236}">
              <a16:creationId xmlns:a16="http://schemas.microsoft.com/office/drawing/2014/main" id="{3DD5419B-8C10-46B1-97FB-D310F8FC2352}"/>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666</xdr:row>
      <xdr:rowOff>0</xdr:rowOff>
    </xdr:from>
    <xdr:ext cx="152400" cy="152400"/>
    <xdr:pic>
      <xdr:nvPicPr>
        <xdr:cNvPr id="1170" name="Immagine 1169" descr="http://demaco.consob/ArchiflowWeb/images/indicator.gif">
          <a:extLst>
            <a:ext uri="{FF2B5EF4-FFF2-40B4-BE49-F238E27FC236}">
              <a16:creationId xmlns:a16="http://schemas.microsoft.com/office/drawing/2014/main" id="{340F2C21-95DE-4172-AD1E-E229B4DC0A86}"/>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666</xdr:row>
      <xdr:rowOff>0</xdr:rowOff>
    </xdr:from>
    <xdr:ext cx="152400" cy="152400"/>
    <xdr:pic>
      <xdr:nvPicPr>
        <xdr:cNvPr id="1171" name="Immagine 1170" descr="http://demaco.consob/ArchiflowWeb/images/indicator.gif">
          <a:extLst>
            <a:ext uri="{FF2B5EF4-FFF2-40B4-BE49-F238E27FC236}">
              <a16:creationId xmlns:a16="http://schemas.microsoft.com/office/drawing/2014/main" id="{816C7FCD-DE03-471E-B571-90FB0EB1D2D7}"/>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666</xdr:row>
      <xdr:rowOff>0</xdr:rowOff>
    </xdr:from>
    <xdr:ext cx="152400" cy="152400"/>
    <xdr:pic>
      <xdr:nvPicPr>
        <xdr:cNvPr id="1172" name="Immagine 1171" descr="http://demaco.consob/ArchiflowWeb/images/indicator.gif">
          <a:extLst>
            <a:ext uri="{FF2B5EF4-FFF2-40B4-BE49-F238E27FC236}">
              <a16:creationId xmlns:a16="http://schemas.microsoft.com/office/drawing/2014/main" id="{1BDF8E12-9E1B-4337-BC2D-70BBA6CB077F}"/>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666</xdr:row>
      <xdr:rowOff>0</xdr:rowOff>
    </xdr:from>
    <xdr:ext cx="152400" cy="152400"/>
    <xdr:pic>
      <xdr:nvPicPr>
        <xdr:cNvPr id="1173" name="Immagine 1172" descr="http://demaco.consob/ArchiflowWeb/images/indicator.gif">
          <a:extLst>
            <a:ext uri="{FF2B5EF4-FFF2-40B4-BE49-F238E27FC236}">
              <a16:creationId xmlns:a16="http://schemas.microsoft.com/office/drawing/2014/main" id="{BDB6F13D-354A-4F6A-A3B8-5E7BB8FD226B}"/>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666</xdr:row>
      <xdr:rowOff>0</xdr:rowOff>
    </xdr:from>
    <xdr:ext cx="152400" cy="152400"/>
    <xdr:pic>
      <xdr:nvPicPr>
        <xdr:cNvPr id="1174" name="Immagine 1173" descr="http://demaco.consob/ArchiflowWeb/images/indicator.gif">
          <a:extLst>
            <a:ext uri="{FF2B5EF4-FFF2-40B4-BE49-F238E27FC236}">
              <a16:creationId xmlns:a16="http://schemas.microsoft.com/office/drawing/2014/main" id="{7249437C-6A6A-4DF6-A729-07B384374735}"/>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666</xdr:row>
      <xdr:rowOff>0</xdr:rowOff>
    </xdr:from>
    <xdr:ext cx="152400" cy="152400"/>
    <xdr:pic>
      <xdr:nvPicPr>
        <xdr:cNvPr id="1175" name="Immagine 1174" descr="http://demaco.consob/ArchiflowWeb/images/indicator.gif">
          <a:extLst>
            <a:ext uri="{FF2B5EF4-FFF2-40B4-BE49-F238E27FC236}">
              <a16:creationId xmlns:a16="http://schemas.microsoft.com/office/drawing/2014/main" id="{EEE75A4F-B625-40DD-9631-107D744A637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666</xdr:row>
      <xdr:rowOff>0</xdr:rowOff>
    </xdr:from>
    <xdr:ext cx="152400" cy="152400"/>
    <xdr:pic>
      <xdr:nvPicPr>
        <xdr:cNvPr id="1176" name="Immagine 1175" descr="http://demaco.consob/ArchiflowWeb/images/indicator.gif">
          <a:extLst>
            <a:ext uri="{FF2B5EF4-FFF2-40B4-BE49-F238E27FC236}">
              <a16:creationId xmlns:a16="http://schemas.microsoft.com/office/drawing/2014/main" id="{70D59E8C-0F97-4436-874F-E4C306ABAD61}"/>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666</xdr:row>
      <xdr:rowOff>0</xdr:rowOff>
    </xdr:from>
    <xdr:ext cx="152400" cy="152400"/>
    <xdr:pic>
      <xdr:nvPicPr>
        <xdr:cNvPr id="1177" name="Immagine 1176" descr="http://demaco.consob/ArchiflowWeb/images/indicator.gif">
          <a:extLst>
            <a:ext uri="{FF2B5EF4-FFF2-40B4-BE49-F238E27FC236}">
              <a16:creationId xmlns:a16="http://schemas.microsoft.com/office/drawing/2014/main" id="{BDC81A54-ECA5-4945-9F3B-EC5E84E2C9C6}"/>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666</xdr:row>
      <xdr:rowOff>0</xdr:rowOff>
    </xdr:from>
    <xdr:ext cx="152400" cy="152400"/>
    <xdr:pic>
      <xdr:nvPicPr>
        <xdr:cNvPr id="1178" name="Immagine 1177" descr="http://demaco.consob/ArchiflowWeb/images/indicator.gif">
          <a:extLst>
            <a:ext uri="{FF2B5EF4-FFF2-40B4-BE49-F238E27FC236}">
              <a16:creationId xmlns:a16="http://schemas.microsoft.com/office/drawing/2014/main" id="{7BF055DC-A3A0-4790-ADC7-E1C051B30ED9}"/>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666</xdr:row>
      <xdr:rowOff>0</xdr:rowOff>
    </xdr:from>
    <xdr:ext cx="152400" cy="152400"/>
    <xdr:pic>
      <xdr:nvPicPr>
        <xdr:cNvPr id="1179" name="Immagine 1178" descr="http://demaco.consob/ArchiflowWeb/images/indicator.gif">
          <a:extLst>
            <a:ext uri="{FF2B5EF4-FFF2-40B4-BE49-F238E27FC236}">
              <a16:creationId xmlns:a16="http://schemas.microsoft.com/office/drawing/2014/main" id="{A92989C4-6AFE-4B8E-909F-6B990C5A9C7E}"/>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666</xdr:row>
      <xdr:rowOff>0</xdr:rowOff>
    </xdr:from>
    <xdr:ext cx="152400" cy="152400"/>
    <xdr:pic>
      <xdr:nvPicPr>
        <xdr:cNvPr id="1180" name="Immagine 1179" descr="http://demaco.consob/ArchiflowWeb/images/indicator.gif">
          <a:extLst>
            <a:ext uri="{FF2B5EF4-FFF2-40B4-BE49-F238E27FC236}">
              <a16:creationId xmlns:a16="http://schemas.microsoft.com/office/drawing/2014/main" id="{C0A3E94A-7456-43EF-BC77-9D15D3737B34}"/>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666</xdr:row>
      <xdr:rowOff>0</xdr:rowOff>
    </xdr:from>
    <xdr:ext cx="152400" cy="152400"/>
    <xdr:pic>
      <xdr:nvPicPr>
        <xdr:cNvPr id="1181" name="Immagine 1180" descr="http://demaco.consob/ArchiflowWeb/images/indicator.gif">
          <a:extLst>
            <a:ext uri="{FF2B5EF4-FFF2-40B4-BE49-F238E27FC236}">
              <a16:creationId xmlns:a16="http://schemas.microsoft.com/office/drawing/2014/main" id="{72BD8542-F1A1-44F0-B703-24FAEF5603F7}"/>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666</xdr:row>
      <xdr:rowOff>0</xdr:rowOff>
    </xdr:from>
    <xdr:ext cx="152400" cy="152400"/>
    <xdr:pic>
      <xdr:nvPicPr>
        <xdr:cNvPr id="1182" name="Immagine 1181" descr="http://demaco.consob/ArchiflowWeb/images/indicator.gif">
          <a:extLst>
            <a:ext uri="{FF2B5EF4-FFF2-40B4-BE49-F238E27FC236}">
              <a16:creationId xmlns:a16="http://schemas.microsoft.com/office/drawing/2014/main" id="{C85F8FFE-D60A-48B1-9135-6DF6FD5388EC}"/>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666</xdr:row>
      <xdr:rowOff>0</xdr:rowOff>
    </xdr:from>
    <xdr:ext cx="152400" cy="152400"/>
    <xdr:pic>
      <xdr:nvPicPr>
        <xdr:cNvPr id="1183" name="Immagine 1182" descr="http://demaco.consob/ArchiflowWeb/images/indicator.gif">
          <a:extLst>
            <a:ext uri="{FF2B5EF4-FFF2-40B4-BE49-F238E27FC236}">
              <a16:creationId xmlns:a16="http://schemas.microsoft.com/office/drawing/2014/main" id="{8ED0DDB8-2FDD-4885-B4C5-A3E62A4B9FFE}"/>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666</xdr:row>
      <xdr:rowOff>0</xdr:rowOff>
    </xdr:from>
    <xdr:ext cx="152400" cy="152400"/>
    <xdr:pic>
      <xdr:nvPicPr>
        <xdr:cNvPr id="1184" name="Immagine 1183" descr="http://demaco.consob/ArchiflowWeb/images/indicator.gif">
          <a:extLst>
            <a:ext uri="{FF2B5EF4-FFF2-40B4-BE49-F238E27FC236}">
              <a16:creationId xmlns:a16="http://schemas.microsoft.com/office/drawing/2014/main" id="{C2B95A1B-61FB-4060-825B-150B9D68D1B8}"/>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666</xdr:row>
      <xdr:rowOff>0</xdr:rowOff>
    </xdr:from>
    <xdr:ext cx="152400" cy="152400"/>
    <xdr:pic>
      <xdr:nvPicPr>
        <xdr:cNvPr id="1185" name="Immagine 1184" descr="http://demaco.consob/ArchiflowWeb/images/indicator.gif">
          <a:extLst>
            <a:ext uri="{FF2B5EF4-FFF2-40B4-BE49-F238E27FC236}">
              <a16:creationId xmlns:a16="http://schemas.microsoft.com/office/drawing/2014/main" id="{2BF4AF8A-1688-4024-AA0C-1361C04B15A4}"/>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666</xdr:row>
      <xdr:rowOff>0</xdr:rowOff>
    </xdr:from>
    <xdr:ext cx="152400" cy="152400"/>
    <xdr:pic>
      <xdr:nvPicPr>
        <xdr:cNvPr id="1186" name="Immagine 1185" descr="http://demaco.consob/ArchiflowWeb/images/indicator.gif">
          <a:extLst>
            <a:ext uri="{FF2B5EF4-FFF2-40B4-BE49-F238E27FC236}">
              <a16:creationId xmlns:a16="http://schemas.microsoft.com/office/drawing/2014/main" id="{85D7E6B2-14BD-4D6A-A280-969E3F212E03}"/>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666</xdr:row>
      <xdr:rowOff>0</xdr:rowOff>
    </xdr:from>
    <xdr:ext cx="152400" cy="152400"/>
    <xdr:pic>
      <xdr:nvPicPr>
        <xdr:cNvPr id="1187" name="Immagine 1186" descr="http://demaco.consob/ArchiflowWeb/images/indicator.gif">
          <a:extLst>
            <a:ext uri="{FF2B5EF4-FFF2-40B4-BE49-F238E27FC236}">
              <a16:creationId xmlns:a16="http://schemas.microsoft.com/office/drawing/2014/main" id="{3388ECD6-747C-49A3-AEE8-29CB11F461DC}"/>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666</xdr:row>
      <xdr:rowOff>0</xdr:rowOff>
    </xdr:from>
    <xdr:ext cx="152400" cy="152400"/>
    <xdr:pic>
      <xdr:nvPicPr>
        <xdr:cNvPr id="1188" name="Immagine 1187" descr="http://demaco.consob/ArchiflowWeb/images/indicator.gif">
          <a:extLst>
            <a:ext uri="{FF2B5EF4-FFF2-40B4-BE49-F238E27FC236}">
              <a16:creationId xmlns:a16="http://schemas.microsoft.com/office/drawing/2014/main" id="{F4E1C0C8-F570-46D3-A738-2772E7DC91D5}"/>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666</xdr:row>
      <xdr:rowOff>0</xdr:rowOff>
    </xdr:from>
    <xdr:ext cx="152400" cy="152400"/>
    <xdr:pic>
      <xdr:nvPicPr>
        <xdr:cNvPr id="1189" name="Immagine 1188" descr="http://demaco.consob/ArchiflowWeb/images/indicator.gif">
          <a:extLst>
            <a:ext uri="{FF2B5EF4-FFF2-40B4-BE49-F238E27FC236}">
              <a16:creationId xmlns:a16="http://schemas.microsoft.com/office/drawing/2014/main" id="{0009F04D-B9A7-4C6D-B7E3-4C062EE20DF1}"/>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666</xdr:row>
      <xdr:rowOff>0</xdr:rowOff>
    </xdr:from>
    <xdr:ext cx="152400" cy="152400"/>
    <xdr:pic>
      <xdr:nvPicPr>
        <xdr:cNvPr id="1190" name="Immagine 1189" descr="http://demaco.consob/ArchiflowWeb/images/indicator.gif">
          <a:extLst>
            <a:ext uri="{FF2B5EF4-FFF2-40B4-BE49-F238E27FC236}">
              <a16:creationId xmlns:a16="http://schemas.microsoft.com/office/drawing/2014/main" id="{7858407B-BEDE-4921-B543-23CD6E246718}"/>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666</xdr:row>
      <xdr:rowOff>0</xdr:rowOff>
    </xdr:from>
    <xdr:ext cx="152400" cy="152400"/>
    <xdr:pic>
      <xdr:nvPicPr>
        <xdr:cNvPr id="1191" name="Immagine 1190" descr="http://demaco.consob/ArchiflowWeb/images/indicator.gif">
          <a:extLst>
            <a:ext uri="{FF2B5EF4-FFF2-40B4-BE49-F238E27FC236}">
              <a16:creationId xmlns:a16="http://schemas.microsoft.com/office/drawing/2014/main" id="{E468133E-6B89-4599-9222-D9FF3D1C2834}"/>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666</xdr:row>
      <xdr:rowOff>0</xdr:rowOff>
    </xdr:from>
    <xdr:ext cx="152400" cy="152400"/>
    <xdr:pic>
      <xdr:nvPicPr>
        <xdr:cNvPr id="1192" name="Immagine 1191" descr="http://demaco.consob/ArchiflowWeb/images/indicator.gif">
          <a:extLst>
            <a:ext uri="{FF2B5EF4-FFF2-40B4-BE49-F238E27FC236}">
              <a16:creationId xmlns:a16="http://schemas.microsoft.com/office/drawing/2014/main" id="{AC5F6BDA-1F05-44B6-ADE0-DA65E247178E}"/>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666</xdr:row>
      <xdr:rowOff>0</xdr:rowOff>
    </xdr:from>
    <xdr:ext cx="152400" cy="152400"/>
    <xdr:pic>
      <xdr:nvPicPr>
        <xdr:cNvPr id="1193" name="Immagine 1192" descr="http://demaco.consob/ArchiflowWeb/images/indicator.gif">
          <a:extLst>
            <a:ext uri="{FF2B5EF4-FFF2-40B4-BE49-F238E27FC236}">
              <a16:creationId xmlns:a16="http://schemas.microsoft.com/office/drawing/2014/main" id="{C6B6D681-54FB-418E-81EA-747174774893}"/>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666</xdr:row>
      <xdr:rowOff>0</xdr:rowOff>
    </xdr:from>
    <xdr:ext cx="152400" cy="152400"/>
    <xdr:pic>
      <xdr:nvPicPr>
        <xdr:cNvPr id="1194" name="Immagine 1193" descr="http://demaco.consob/ArchiflowWeb/images/indicator.gif">
          <a:extLst>
            <a:ext uri="{FF2B5EF4-FFF2-40B4-BE49-F238E27FC236}">
              <a16:creationId xmlns:a16="http://schemas.microsoft.com/office/drawing/2014/main" id="{C30D5FA9-54CE-4CE5-ADC8-2DE01CE13C5E}"/>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666</xdr:row>
      <xdr:rowOff>0</xdr:rowOff>
    </xdr:from>
    <xdr:ext cx="152400" cy="152400"/>
    <xdr:pic>
      <xdr:nvPicPr>
        <xdr:cNvPr id="1195" name="Immagine 1194" descr="http://demaco.consob/ArchiflowWeb/images/indicator.gif">
          <a:extLst>
            <a:ext uri="{FF2B5EF4-FFF2-40B4-BE49-F238E27FC236}">
              <a16:creationId xmlns:a16="http://schemas.microsoft.com/office/drawing/2014/main" id="{2CE77646-0245-4D1C-9000-E024F2BA8C2C}"/>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666</xdr:row>
      <xdr:rowOff>0</xdr:rowOff>
    </xdr:from>
    <xdr:ext cx="152400" cy="152400"/>
    <xdr:pic>
      <xdr:nvPicPr>
        <xdr:cNvPr id="1196" name="Immagine 1195" descr="http://demaco.consob/ArchiflowWeb/images/indicator.gif">
          <a:extLst>
            <a:ext uri="{FF2B5EF4-FFF2-40B4-BE49-F238E27FC236}">
              <a16:creationId xmlns:a16="http://schemas.microsoft.com/office/drawing/2014/main" id="{56D383B8-37EF-483E-B2FA-6D84EAADE420}"/>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666</xdr:row>
      <xdr:rowOff>0</xdr:rowOff>
    </xdr:from>
    <xdr:ext cx="152400" cy="152400"/>
    <xdr:pic>
      <xdr:nvPicPr>
        <xdr:cNvPr id="1197" name="Immagine 1196" descr="http://demaco.consob/ArchiflowWeb/images/indicator.gif">
          <a:extLst>
            <a:ext uri="{FF2B5EF4-FFF2-40B4-BE49-F238E27FC236}">
              <a16:creationId xmlns:a16="http://schemas.microsoft.com/office/drawing/2014/main" id="{872AB16B-88DD-47D2-9B44-5E79BD464744}"/>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666</xdr:row>
      <xdr:rowOff>0</xdr:rowOff>
    </xdr:from>
    <xdr:ext cx="152400" cy="152400"/>
    <xdr:pic>
      <xdr:nvPicPr>
        <xdr:cNvPr id="1198" name="Immagine 1197" descr="http://demaco.consob/ArchiflowWeb/images/indicator.gif">
          <a:extLst>
            <a:ext uri="{FF2B5EF4-FFF2-40B4-BE49-F238E27FC236}">
              <a16:creationId xmlns:a16="http://schemas.microsoft.com/office/drawing/2014/main" id="{7732C9FE-D645-4409-A8FF-3B544C3E481B}"/>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666</xdr:row>
      <xdr:rowOff>0</xdr:rowOff>
    </xdr:from>
    <xdr:ext cx="152400" cy="152400"/>
    <xdr:pic>
      <xdr:nvPicPr>
        <xdr:cNvPr id="1199" name="Immagine 1198" descr="http://demaco.consob/ArchiflowWeb/images/indicator.gif">
          <a:extLst>
            <a:ext uri="{FF2B5EF4-FFF2-40B4-BE49-F238E27FC236}">
              <a16:creationId xmlns:a16="http://schemas.microsoft.com/office/drawing/2014/main" id="{0CF09B6C-78B7-45FF-A465-1CAB9355B82E}"/>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666</xdr:row>
      <xdr:rowOff>0</xdr:rowOff>
    </xdr:from>
    <xdr:ext cx="152400" cy="152400"/>
    <xdr:pic>
      <xdr:nvPicPr>
        <xdr:cNvPr id="1200" name="Immagine 1199" descr="http://demaco.consob/ArchiflowWeb/images/indicator.gif">
          <a:extLst>
            <a:ext uri="{FF2B5EF4-FFF2-40B4-BE49-F238E27FC236}">
              <a16:creationId xmlns:a16="http://schemas.microsoft.com/office/drawing/2014/main" id="{7745E8D6-D93A-4F8F-B81A-646A6C607C57}"/>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666</xdr:row>
      <xdr:rowOff>0</xdr:rowOff>
    </xdr:from>
    <xdr:ext cx="152400" cy="152400"/>
    <xdr:pic>
      <xdr:nvPicPr>
        <xdr:cNvPr id="1201" name="Immagine 1200" descr="http://demaco.consob/ArchiflowWeb/images/indicator.gif">
          <a:extLst>
            <a:ext uri="{FF2B5EF4-FFF2-40B4-BE49-F238E27FC236}">
              <a16:creationId xmlns:a16="http://schemas.microsoft.com/office/drawing/2014/main" id="{1F896739-1ADC-4F3B-9270-04F8A61412CE}"/>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666</xdr:row>
      <xdr:rowOff>0</xdr:rowOff>
    </xdr:from>
    <xdr:ext cx="152400" cy="152400"/>
    <xdr:pic>
      <xdr:nvPicPr>
        <xdr:cNvPr id="1202" name="Immagine 1201" descr="http://demaco.consob/ArchiflowWeb/images/indicator.gif">
          <a:extLst>
            <a:ext uri="{FF2B5EF4-FFF2-40B4-BE49-F238E27FC236}">
              <a16:creationId xmlns:a16="http://schemas.microsoft.com/office/drawing/2014/main" id="{134C7C6B-1FA6-46E5-AC87-1D21AB02F074}"/>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666</xdr:row>
      <xdr:rowOff>0</xdr:rowOff>
    </xdr:from>
    <xdr:ext cx="152400" cy="152400"/>
    <xdr:pic>
      <xdr:nvPicPr>
        <xdr:cNvPr id="1203" name="Immagine 1202" descr="http://demaco.consob/ArchiflowWeb/images/indicator.gif">
          <a:extLst>
            <a:ext uri="{FF2B5EF4-FFF2-40B4-BE49-F238E27FC236}">
              <a16:creationId xmlns:a16="http://schemas.microsoft.com/office/drawing/2014/main" id="{0AD76FA3-AF68-41D4-B3F1-58D10FE2858D}"/>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666</xdr:row>
      <xdr:rowOff>0</xdr:rowOff>
    </xdr:from>
    <xdr:ext cx="152400" cy="152400"/>
    <xdr:pic>
      <xdr:nvPicPr>
        <xdr:cNvPr id="1204" name="Immagine 1203" descr="http://demaco.consob/ArchiflowWeb/images/indicator.gif">
          <a:extLst>
            <a:ext uri="{FF2B5EF4-FFF2-40B4-BE49-F238E27FC236}">
              <a16:creationId xmlns:a16="http://schemas.microsoft.com/office/drawing/2014/main" id="{2496C972-2481-4E01-9B8E-0B23E97B25B4}"/>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666</xdr:row>
      <xdr:rowOff>0</xdr:rowOff>
    </xdr:from>
    <xdr:ext cx="152400" cy="152400"/>
    <xdr:pic>
      <xdr:nvPicPr>
        <xdr:cNvPr id="1205" name="Immagine 1204" descr="http://demaco.consob/ArchiflowWeb/images/indicator.gif">
          <a:extLst>
            <a:ext uri="{FF2B5EF4-FFF2-40B4-BE49-F238E27FC236}">
              <a16:creationId xmlns:a16="http://schemas.microsoft.com/office/drawing/2014/main" id="{546F628B-01A2-492B-8117-E73B8D771933}"/>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666</xdr:row>
      <xdr:rowOff>0</xdr:rowOff>
    </xdr:from>
    <xdr:ext cx="152400" cy="152400"/>
    <xdr:pic>
      <xdr:nvPicPr>
        <xdr:cNvPr id="1206" name="Immagine 1205" descr="http://demaco.consob/ArchiflowWeb/images/indicator.gif">
          <a:extLst>
            <a:ext uri="{FF2B5EF4-FFF2-40B4-BE49-F238E27FC236}">
              <a16:creationId xmlns:a16="http://schemas.microsoft.com/office/drawing/2014/main" id="{E259BF02-16FB-4AB1-96CD-55D996096F37}"/>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666</xdr:row>
      <xdr:rowOff>0</xdr:rowOff>
    </xdr:from>
    <xdr:ext cx="152400" cy="152400"/>
    <xdr:pic>
      <xdr:nvPicPr>
        <xdr:cNvPr id="1207" name="Immagine 1206" descr="http://demaco.consob/ArchiflowWeb/images/indicator.gif">
          <a:extLst>
            <a:ext uri="{FF2B5EF4-FFF2-40B4-BE49-F238E27FC236}">
              <a16:creationId xmlns:a16="http://schemas.microsoft.com/office/drawing/2014/main" id="{F846D583-93FF-46AD-9C80-970D5E6366B9}"/>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666</xdr:row>
      <xdr:rowOff>0</xdr:rowOff>
    </xdr:from>
    <xdr:ext cx="152400" cy="152400"/>
    <xdr:pic>
      <xdr:nvPicPr>
        <xdr:cNvPr id="1208" name="Immagine 1207" descr="http://demaco.consob/ArchiflowWeb/images/indicator.gif">
          <a:extLst>
            <a:ext uri="{FF2B5EF4-FFF2-40B4-BE49-F238E27FC236}">
              <a16:creationId xmlns:a16="http://schemas.microsoft.com/office/drawing/2014/main" id="{7DF5FAB1-B456-42C7-A3DB-8742BE7FFD5A}"/>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666</xdr:row>
      <xdr:rowOff>0</xdr:rowOff>
    </xdr:from>
    <xdr:ext cx="152400" cy="152400"/>
    <xdr:pic>
      <xdr:nvPicPr>
        <xdr:cNvPr id="1209" name="Immagine 1208" descr="http://demaco.consob/ArchiflowWeb/images/indicator.gif">
          <a:extLst>
            <a:ext uri="{FF2B5EF4-FFF2-40B4-BE49-F238E27FC236}">
              <a16:creationId xmlns:a16="http://schemas.microsoft.com/office/drawing/2014/main" id="{E0ACE8B4-F030-4870-AE5A-9DC79AEF8C59}"/>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666</xdr:row>
      <xdr:rowOff>0</xdr:rowOff>
    </xdr:from>
    <xdr:ext cx="152400" cy="152400"/>
    <xdr:pic>
      <xdr:nvPicPr>
        <xdr:cNvPr id="1210" name="Immagine 1209" descr="http://demaco.consob/ArchiflowWeb/images/indicator.gif">
          <a:extLst>
            <a:ext uri="{FF2B5EF4-FFF2-40B4-BE49-F238E27FC236}">
              <a16:creationId xmlns:a16="http://schemas.microsoft.com/office/drawing/2014/main" id="{1638F2D0-B576-484A-97E3-4F864B9B472E}"/>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666</xdr:row>
      <xdr:rowOff>0</xdr:rowOff>
    </xdr:from>
    <xdr:ext cx="152400" cy="152400"/>
    <xdr:pic>
      <xdr:nvPicPr>
        <xdr:cNvPr id="1211" name="Immagine 1210" descr="http://demaco.consob/ArchiflowWeb/images/indicator.gif">
          <a:extLst>
            <a:ext uri="{FF2B5EF4-FFF2-40B4-BE49-F238E27FC236}">
              <a16:creationId xmlns:a16="http://schemas.microsoft.com/office/drawing/2014/main" id="{EDA8FBAE-E95E-4A26-9058-E09845418C38}"/>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666</xdr:row>
      <xdr:rowOff>0</xdr:rowOff>
    </xdr:from>
    <xdr:ext cx="152400" cy="152400"/>
    <xdr:pic>
      <xdr:nvPicPr>
        <xdr:cNvPr id="1212" name="Immagine 1211" descr="http://demaco.consob/ArchiflowWeb/images/indicator.gif">
          <a:extLst>
            <a:ext uri="{FF2B5EF4-FFF2-40B4-BE49-F238E27FC236}">
              <a16:creationId xmlns:a16="http://schemas.microsoft.com/office/drawing/2014/main" id="{5C5ABF09-FF2D-4CD3-B6BF-4DC44A25F689}"/>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666</xdr:row>
      <xdr:rowOff>0</xdr:rowOff>
    </xdr:from>
    <xdr:ext cx="152400" cy="152400"/>
    <xdr:pic>
      <xdr:nvPicPr>
        <xdr:cNvPr id="1213" name="Immagine 1212" descr="http://demaco.consob/ArchiflowWeb/images/indicator.gif">
          <a:extLst>
            <a:ext uri="{FF2B5EF4-FFF2-40B4-BE49-F238E27FC236}">
              <a16:creationId xmlns:a16="http://schemas.microsoft.com/office/drawing/2014/main" id="{6236AD20-A5F1-4D85-A19B-F5317D1D96CF}"/>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666</xdr:row>
      <xdr:rowOff>0</xdr:rowOff>
    </xdr:from>
    <xdr:ext cx="152400" cy="152400"/>
    <xdr:pic>
      <xdr:nvPicPr>
        <xdr:cNvPr id="1214" name="Immagine 1213" descr="http://demaco.consob/ArchiflowWeb/images/indicator.gif">
          <a:extLst>
            <a:ext uri="{FF2B5EF4-FFF2-40B4-BE49-F238E27FC236}">
              <a16:creationId xmlns:a16="http://schemas.microsoft.com/office/drawing/2014/main" id="{7F4B4AE0-55AE-418C-BC80-327C336E1648}"/>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666</xdr:row>
      <xdr:rowOff>0</xdr:rowOff>
    </xdr:from>
    <xdr:ext cx="152400" cy="152400"/>
    <xdr:pic>
      <xdr:nvPicPr>
        <xdr:cNvPr id="1215" name="Immagine 1214" descr="http://demaco.consob/ArchiflowWeb/images/indicator.gif">
          <a:extLst>
            <a:ext uri="{FF2B5EF4-FFF2-40B4-BE49-F238E27FC236}">
              <a16:creationId xmlns:a16="http://schemas.microsoft.com/office/drawing/2014/main" id="{18C12ECA-98F2-40FD-834B-72F2F5A5FA66}"/>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666</xdr:row>
      <xdr:rowOff>0</xdr:rowOff>
    </xdr:from>
    <xdr:ext cx="152400" cy="152400"/>
    <xdr:pic>
      <xdr:nvPicPr>
        <xdr:cNvPr id="1216" name="Immagine 1215" descr="http://demaco.consob/ArchiflowWeb/images/indicator.gif">
          <a:extLst>
            <a:ext uri="{FF2B5EF4-FFF2-40B4-BE49-F238E27FC236}">
              <a16:creationId xmlns:a16="http://schemas.microsoft.com/office/drawing/2014/main" id="{90B32F99-0FDF-4658-AFEB-2256927B5338}"/>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666</xdr:row>
      <xdr:rowOff>0</xdr:rowOff>
    </xdr:from>
    <xdr:ext cx="152400" cy="152400"/>
    <xdr:pic>
      <xdr:nvPicPr>
        <xdr:cNvPr id="1217" name="Immagine 1216" descr="http://demaco.consob/ArchiflowWeb/images/indicator.gif">
          <a:extLst>
            <a:ext uri="{FF2B5EF4-FFF2-40B4-BE49-F238E27FC236}">
              <a16:creationId xmlns:a16="http://schemas.microsoft.com/office/drawing/2014/main" id="{1867F55F-C6A6-40B9-8354-5CCA6D4CC59A}"/>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666</xdr:row>
      <xdr:rowOff>0</xdr:rowOff>
    </xdr:from>
    <xdr:ext cx="152400" cy="152400"/>
    <xdr:pic>
      <xdr:nvPicPr>
        <xdr:cNvPr id="1218" name="Immagine 1217" descr="http://demaco.consob/ArchiflowWeb/images/indicator.gif">
          <a:extLst>
            <a:ext uri="{FF2B5EF4-FFF2-40B4-BE49-F238E27FC236}">
              <a16:creationId xmlns:a16="http://schemas.microsoft.com/office/drawing/2014/main" id="{3AEDC8A9-9017-4911-AFFC-62B6125903CB}"/>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666</xdr:row>
      <xdr:rowOff>0</xdr:rowOff>
    </xdr:from>
    <xdr:ext cx="152400" cy="152400"/>
    <xdr:pic>
      <xdr:nvPicPr>
        <xdr:cNvPr id="1219" name="Immagine 1218" descr="http://demaco.consob/ArchiflowWeb/images/indicator.gif">
          <a:extLst>
            <a:ext uri="{FF2B5EF4-FFF2-40B4-BE49-F238E27FC236}">
              <a16:creationId xmlns:a16="http://schemas.microsoft.com/office/drawing/2014/main" id="{D04B7F0F-33A9-47CD-9952-37A06D1C1286}"/>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666</xdr:row>
      <xdr:rowOff>0</xdr:rowOff>
    </xdr:from>
    <xdr:ext cx="152400" cy="152400"/>
    <xdr:pic>
      <xdr:nvPicPr>
        <xdr:cNvPr id="1220" name="Immagine 1219" descr="http://demaco.consob/ArchiflowWeb/images/indicator.gif">
          <a:extLst>
            <a:ext uri="{FF2B5EF4-FFF2-40B4-BE49-F238E27FC236}">
              <a16:creationId xmlns:a16="http://schemas.microsoft.com/office/drawing/2014/main" id="{F33AC137-9BB0-4313-9CF7-53259E394587}"/>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666</xdr:row>
      <xdr:rowOff>0</xdr:rowOff>
    </xdr:from>
    <xdr:ext cx="152400" cy="152400"/>
    <xdr:pic>
      <xdr:nvPicPr>
        <xdr:cNvPr id="1221" name="Immagine 1220" descr="http://demaco.consob/ArchiflowWeb/images/indicator.gif">
          <a:extLst>
            <a:ext uri="{FF2B5EF4-FFF2-40B4-BE49-F238E27FC236}">
              <a16:creationId xmlns:a16="http://schemas.microsoft.com/office/drawing/2014/main" id="{97A0C211-A263-4D04-A6C3-10DA30BFCCCE}"/>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666</xdr:row>
      <xdr:rowOff>0</xdr:rowOff>
    </xdr:from>
    <xdr:ext cx="152400" cy="152400"/>
    <xdr:pic>
      <xdr:nvPicPr>
        <xdr:cNvPr id="1222" name="Immagine 1221" descr="http://demaco.consob/ArchiflowWeb/images/indicator.gif">
          <a:extLst>
            <a:ext uri="{FF2B5EF4-FFF2-40B4-BE49-F238E27FC236}">
              <a16:creationId xmlns:a16="http://schemas.microsoft.com/office/drawing/2014/main" id="{CCF176DD-2D82-49A5-9360-525554E983C3}"/>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666</xdr:row>
      <xdr:rowOff>0</xdr:rowOff>
    </xdr:from>
    <xdr:ext cx="152400" cy="152400"/>
    <xdr:pic>
      <xdr:nvPicPr>
        <xdr:cNvPr id="1223" name="Immagine 1222" descr="http://demaco.consob/ArchiflowWeb/images/indicator.gif">
          <a:extLst>
            <a:ext uri="{FF2B5EF4-FFF2-40B4-BE49-F238E27FC236}">
              <a16:creationId xmlns:a16="http://schemas.microsoft.com/office/drawing/2014/main" id="{F6974E38-6066-4299-8EF6-7169268E8712}"/>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666</xdr:row>
      <xdr:rowOff>0</xdr:rowOff>
    </xdr:from>
    <xdr:ext cx="152400" cy="152400"/>
    <xdr:pic>
      <xdr:nvPicPr>
        <xdr:cNvPr id="1224" name="Immagine 1223" descr="http://demaco.consob/ArchiflowWeb/images/indicator.gif">
          <a:extLst>
            <a:ext uri="{FF2B5EF4-FFF2-40B4-BE49-F238E27FC236}">
              <a16:creationId xmlns:a16="http://schemas.microsoft.com/office/drawing/2014/main" id="{9F1A9CD0-62F7-42D0-84CC-2ACFC83EAAD3}"/>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666</xdr:row>
      <xdr:rowOff>0</xdr:rowOff>
    </xdr:from>
    <xdr:ext cx="152400" cy="152400"/>
    <xdr:pic>
      <xdr:nvPicPr>
        <xdr:cNvPr id="1225" name="Immagine 1224" descr="http://demaco.consob/ArchiflowWeb/images/indicator.gif">
          <a:extLst>
            <a:ext uri="{FF2B5EF4-FFF2-40B4-BE49-F238E27FC236}">
              <a16:creationId xmlns:a16="http://schemas.microsoft.com/office/drawing/2014/main" id="{3DD589A1-6CA4-4920-BCFD-125A2DE53E21}"/>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666</xdr:row>
      <xdr:rowOff>0</xdr:rowOff>
    </xdr:from>
    <xdr:ext cx="152400" cy="152400"/>
    <xdr:pic>
      <xdr:nvPicPr>
        <xdr:cNvPr id="1226" name="Immagine 1225" descr="http://demaco.consob/ArchiflowWeb/images/indicator.gif">
          <a:extLst>
            <a:ext uri="{FF2B5EF4-FFF2-40B4-BE49-F238E27FC236}">
              <a16:creationId xmlns:a16="http://schemas.microsoft.com/office/drawing/2014/main" id="{B7CF4E41-A67A-4335-BB31-DBE00D92154D}"/>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666</xdr:row>
      <xdr:rowOff>0</xdr:rowOff>
    </xdr:from>
    <xdr:ext cx="152400" cy="152400"/>
    <xdr:pic>
      <xdr:nvPicPr>
        <xdr:cNvPr id="1227" name="Immagine 1226" descr="http://demaco.consob/ArchiflowWeb/images/indicator.gif">
          <a:extLst>
            <a:ext uri="{FF2B5EF4-FFF2-40B4-BE49-F238E27FC236}">
              <a16:creationId xmlns:a16="http://schemas.microsoft.com/office/drawing/2014/main" id="{436386B4-4A74-4AB7-9F09-8C9CE74DD0ED}"/>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666</xdr:row>
      <xdr:rowOff>0</xdr:rowOff>
    </xdr:from>
    <xdr:ext cx="152400" cy="152400"/>
    <xdr:pic>
      <xdr:nvPicPr>
        <xdr:cNvPr id="1228" name="Immagine 1227" descr="http://demaco.consob/ArchiflowWeb/images/indicator.gif">
          <a:extLst>
            <a:ext uri="{FF2B5EF4-FFF2-40B4-BE49-F238E27FC236}">
              <a16:creationId xmlns:a16="http://schemas.microsoft.com/office/drawing/2014/main" id="{B22B9D25-1819-43B1-865A-25283881E132}"/>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666</xdr:row>
      <xdr:rowOff>0</xdr:rowOff>
    </xdr:from>
    <xdr:ext cx="152400" cy="152400"/>
    <xdr:pic>
      <xdr:nvPicPr>
        <xdr:cNvPr id="1229" name="Immagine 1228" descr="http://demaco.consob/ArchiflowWeb/images/indicator.gif">
          <a:extLst>
            <a:ext uri="{FF2B5EF4-FFF2-40B4-BE49-F238E27FC236}">
              <a16:creationId xmlns:a16="http://schemas.microsoft.com/office/drawing/2014/main" id="{C1511A48-A235-4166-A541-16185557A6F3}"/>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666</xdr:row>
      <xdr:rowOff>0</xdr:rowOff>
    </xdr:from>
    <xdr:ext cx="152400" cy="152400"/>
    <xdr:pic>
      <xdr:nvPicPr>
        <xdr:cNvPr id="1230" name="Immagine 1229" descr="http://demaco.consob/ArchiflowWeb/images/indicator.gif">
          <a:extLst>
            <a:ext uri="{FF2B5EF4-FFF2-40B4-BE49-F238E27FC236}">
              <a16:creationId xmlns:a16="http://schemas.microsoft.com/office/drawing/2014/main" id="{18AC64DE-AFE2-4ACE-9F54-8DB9D2B69D99}"/>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666</xdr:row>
      <xdr:rowOff>0</xdr:rowOff>
    </xdr:from>
    <xdr:ext cx="152400" cy="152400"/>
    <xdr:pic>
      <xdr:nvPicPr>
        <xdr:cNvPr id="1231" name="Immagine 1230" descr="http://demaco.consob/ArchiflowWeb/images/indicator.gif">
          <a:extLst>
            <a:ext uri="{FF2B5EF4-FFF2-40B4-BE49-F238E27FC236}">
              <a16:creationId xmlns:a16="http://schemas.microsoft.com/office/drawing/2014/main" id="{1FC3BB06-C47A-479F-8080-8CBEEBD2BAB1}"/>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666</xdr:row>
      <xdr:rowOff>0</xdr:rowOff>
    </xdr:from>
    <xdr:ext cx="152400" cy="152400"/>
    <xdr:pic>
      <xdr:nvPicPr>
        <xdr:cNvPr id="1232" name="Immagine 1231" descr="http://demaco.consob/ArchiflowWeb/images/indicator.gif">
          <a:extLst>
            <a:ext uri="{FF2B5EF4-FFF2-40B4-BE49-F238E27FC236}">
              <a16:creationId xmlns:a16="http://schemas.microsoft.com/office/drawing/2014/main" id="{B24AE19F-7FD7-4DE8-B9CF-6F6D1C05AB27}"/>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0</xdr:colOff>
      <xdr:row>666</xdr:row>
      <xdr:rowOff>0</xdr:rowOff>
    </xdr:from>
    <xdr:ext cx="152400" cy="152400"/>
    <xdr:pic>
      <xdr:nvPicPr>
        <xdr:cNvPr id="1233" name="Immagine 1232" descr="http://demaco.consob/ArchiflowWeb/images/indicator.gif">
          <a:extLst>
            <a:ext uri="{FF2B5EF4-FFF2-40B4-BE49-F238E27FC236}">
              <a16:creationId xmlns:a16="http://schemas.microsoft.com/office/drawing/2014/main" id="{FC121993-97B7-434D-BB38-32580190BACE}"/>
            </a:ext>
          </a:extLst>
        </xdr:cNvPr>
        <xdr:cNvPicPr>
          <a:picLocks noChangeAspect="1" noChangeArrowheads="1" noCrop="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93025" y="1714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BA0EC1-1BFD-4F5E-997F-7A56225BCAEA}">
  <dimension ref="A2:AD977"/>
  <sheetViews>
    <sheetView tabSelected="1" zoomScale="80" zoomScaleNormal="80" workbookViewId="0">
      <pane ySplit="14" topLeftCell="A15" activePane="bottomLeft" state="frozen"/>
      <selection pane="bottomLeft" activeCell="A558" sqref="A558"/>
    </sheetView>
  </sheetViews>
  <sheetFormatPr defaultColWidth="9.140625" defaultRowHeight="15" x14ac:dyDescent="0.25"/>
  <cols>
    <col min="1" max="1" width="24.7109375" style="24" customWidth="1"/>
    <col min="2" max="2" width="14.5703125" style="16" customWidth="1"/>
    <col min="3" max="3" width="17.85546875" style="27" customWidth="1"/>
    <col min="4" max="4" width="19.42578125" style="27" customWidth="1"/>
    <col min="5" max="5" width="18.7109375" style="27" customWidth="1"/>
    <col min="6" max="6" width="16.5703125" style="27" customWidth="1"/>
    <col min="7" max="7" width="13.85546875" style="27" customWidth="1"/>
    <col min="8" max="8" width="17.5703125" style="27" customWidth="1"/>
    <col min="9" max="9" width="13.7109375" style="27" customWidth="1"/>
    <col min="10" max="10" width="15.140625" style="22" customWidth="1"/>
    <col min="11" max="11" width="14.7109375" style="27" customWidth="1"/>
    <col min="12" max="12" width="18.7109375" style="27" customWidth="1"/>
    <col min="13" max="13" width="15.5703125" style="27" customWidth="1"/>
    <col min="14" max="14" width="26.42578125" style="16" customWidth="1"/>
    <col min="15" max="15" width="12.7109375" style="16" customWidth="1"/>
    <col min="16" max="16" width="9.140625" style="27" customWidth="1"/>
    <col min="17" max="17" width="21.85546875" style="21" customWidth="1"/>
    <col min="18" max="18" width="14.5703125" style="16" customWidth="1"/>
    <col min="19" max="19" width="28.140625" style="27" customWidth="1"/>
    <col min="20" max="20" width="24.28515625" style="13" customWidth="1"/>
    <col min="21" max="21" width="12.42578125" style="23" customWidth="1"/>
    <col min="22" max="22" width="16.42578125" style="23" customWidth="1"/>
    <col min="23" max="24" width="25.42578125" style="13" customWidth="1"/>
    <col min="25" max="25" width="12.42578125" style="16" bestFit="1" customWidth="1"/>
    <col min="26" max="26" width="13" style="16" bestFit="1" customWidth="1"/>
    <col min="27" max="27" width="18.85546875" style="27" customWidth="1"/>
    <col min="28" max="28" width="18.5703125" style="27" bestFit="1" customWidth="1"/>
    <col min="29" max="29" width="18" style="27" customWidth="1"/>
    <col min="30" max="30" width="13.7109375" style="27" customWidth="1"/>
    <col min="31" max="16384" width="9.140625" style="16"/>
  </cols>
  <sheetData>
    <row r="2" spans="1:30" x14ac:dyDescent="0.25">
      <c r="A2" s="20" t="s">
        <v>0</v>
      </c>
      <c r="B2" s="21" t="s">
        <v>1</v>
      </c>
      <c r="C2" s="22"/>
      <c r="D2" s="22"/>
      <c r="E2" s="22"/>
      <c r="F2" s="22"/>
      <c r="G2" s="22"/>
      <c r="H2" s="22"/>
      <c r="I2" s="22"/>
      <c r="K2" s="22"/>
      <c r="L2" s="22"/>
      <c r="M2" s="22"/>
      <c r="N2" s="21"/>
      <c r="O2" s="21"/>
      <c r="P2" s="22"/>
      <c r="R2" s="21"/>
      <c r="S2" s="22"/>
    </row>
    <row r="3" spans="1:30" x14ac:dyDescent="0.25">
      <c r="A3" s="24" t="s">
        <v>2</v>
      </c>
      <c r="B3" s="21" t="s">
        <v>2596</v>
      </c>
      <c r="C3" s="22"/>
      <c r="D3" s="22"/>
      <c r="E3" s="22"/>
      <c r="F3" s="22"/>
      <c r="G3" s="22"/>
      <c r="H3" s="22"/>
      <c r="I3" s="22"/>
      <c r="K3" s="22"/>
      <c r="L3" s="22"/>
      <c r="M3" s="22"/>
      <c r="N3" s="21"/>
      <c r="O3" s="21"/>
      <c r="P3" s="22"/>
      <c r="R3" s="21"/>
      <c r="S3" s="22"/>
    </row>
    <row r="4" spans="1:30" x14ac:dyDescent="0.25">
      <c r="A4" s="24" t="s">
        <v>3</v>
      </c>
      <c r="B4" s="25">
        <v>45230</v>
      </c>
      <c r="C4" s="22"/>
      <c r="D4" s="22"/>
      <c r="E4" s="22"/>
      <c r="F4" s="22"/>
      <c r="G4" s="22"/>
      <c r="H4" s="22"/>
      <c r="I4" s="22"/>
      <c r="K4" s="22"/>
      <c r="L4" s="22"/>
      <c r="M4" s="22"/>
      <c r="N4" s="21"/>
      <c r="O4" s="21"/>
      <c r="P4" s="22"/>
      <c r="R4" s="21"/>
      <c r="S4" s="22"/>
    </row>
    <row r="5" spans="1:30" x14ac:dyDescent="0.25">
      <c r="A5" s="24" t="s">
        <v>4</v>
      </c>
      <c r="B5" s="21" t="s">
        <v>5</v>
      </c>
      <c r="C5" s="22"/>
      <c r="D5" s="22"/>
      <c r="E5" s="22"/>
      <c r="F5" s="22"/>
      <c r="G5" s="22"/>
      <c r="H5" s="22"/>
      <c r="I5" s="22"/>
      <c r="K5" s="22"/>
      <c r="L5" s="22"/>
      <c r="M5" s="22"/>
      <c r="N5" s="21"/>
      <c r="O5" s="21"/>
      <c r="P5" s="22"/>
      <c r="R5" s="21"/>
      <c r="S5" s="22"/>
    </row>
    <row r="6" spans="1:30" x14ac:dyDescent="0.25">
      <c r="A6" s="24" t="s">
        <v>6</v>
      </c>
      <c r="B6" s="25">
        <v>45199</v>
      </c>
      <c r="C6" s="22"/>
      <c r="D6" s="22"/>
      <c r="E6" s="22"/>
      <c r="F6" s="22"/>
      <c r="G6" s="22"/>
      <c r="H6" s="22"/>
      <c r="I6" s="22"/>
      <c r="K6" s="22"/>
      <c r="L6" s="22"/>
      <c r="M6" s="22"/>
      <c r="N6" s="21"/>
      <c r="O6" s="21"/>
      <c r="P6" s="22"/>
      <c r="R6" s="21"/>
      <c r="S6" s="22"/>
    </row>
    <row r="7" spans="1:30" x14ac:dyDescent="0.25">
      <c r="A7" s="24" t="s">
        <v>7</v>
      </c>
      <c r="B7" s="16">
        <v>2023</v>
      </c>
      <c r="C7" s="22"/>
      <c r="D7" s="22"/>
      <c r="E7" s="22"/>
      <c r="F7" s="22"/>
      <c r="G7" s="22"/>
      <c r="H7" s="22"/>
      <c r="I7" s="22"/>
      <c r="K7" s="22"/>
      <c r="L7" s="22"/>
      <c r="M7" s="22"/>
      <c r="N7" s="21"/>
      <c r="O7" s="21"/>
      <c r="P7" s="22"/>
      <c r="R7" s="21"/>
      <c r="S7" s="22"/>
    </row>
    <row r="8" spans="1:30" x14ac:dyDescent="0.25">
      <c r="A8" s="24" t="s">
        <v>8</v>
      </c>
      <c r="B8" s="21" t="s">
        <v>9</v>
      </c>
      <c r="C8" s="22"/>
      <c r="D8" s="22"/>
      <c r="E8" s="22"/>
      <c r="F8" s="22"/>
      <c r="G8" s="22"/>
      <c r="H8" s="22"/>
      <c r="I8" s="22"/>
      <c r="K8" s="22"/>
      <c r="L8" s="22"/>
      <c r="M8" s="22"/>
      <c r="N8" s="21"/>
      <c r="O8" s="21"/>
      <c r="P8" s="22"/>
      <c r="R8" s="21"/>
      <c r="S8" s="22"/>
    </row>
    <row r="9" spans="1:30" x14ac:dyDescent="0.25">
      <c r="A9" s="24" t="s">
        <v>10</v>
      </c>
      <c r="B9" s="21" t="s">
        <v>11</v>
      </c>
      <c r="C9" s="22"/>
      <c r="D9" s="22"/>
      <c r="E9" s="22"/>
      <c r="F9" s="22"/>
      <c r="G9" s="22"/>
      <c r="H9" s="22"/>
      <c r="I9" s="22"/>
      <c r="K9" s="22"/>
      <c r="L9" s="22"/>
      <c r="M9" s="22"/>
      <c r="N9" s="21"/>
      <c r="O9" s="21"/>
      <c r="P9" s="22"/>
      <c r="R9" s="21"/>
      <c r="S9" s="22"/>
    </row>
    <row r="10" spans="1:30" x14ac:dyDescent="0.25">
      <c r="A10" s="26"/>
      <c r="B10" s="21"/>
      <c r="C10" s="22"/>
      <c r="D10" s="22"/>
      <c r="E10" s="22"/>
      <c r="F10" s="22"/>
      <c r="G10" s="22"/>
      <c r="H10" s="22"/>
      <c r="I10" s="22"/>
      <c r="K10" s="22"/>
      <c r="L10" s="22"/>
      <c r="M10" s="22"/>
      <c r="N10" s="21"/>
      <c r="O10" s="21"/>
      <c r="P10" s="22"/>
      <c r="R10" s="21"/>
      <c r="S10" s="22"/>
    </row>
    <row r="12" spans="1:30" s="7" customFormat="1" x14ac:dyDescent="0.25">
      <c r="A12" s="2"/>
      <c r="B12" s="3"/>
      <c r="C12" s="4"/>
      <c r="D12" s="4"/>
      <c r="E12" s="4"/>
      <c r="F12" s="4" t="s">
        <v>12</v>
      </c>
      <c r="G12" s="4"/>
      <c r="H12" s="4"/>
      <c r="I12" s="4"/>
      <c r="J12" s="4"/>
      <c r="K12" s="4"/>
      <c r="L12" s="4"/>
      <c r="M12" s="4" t="s">
        <v>13</v>
      </c>
      <c r="N12" s="3"/>
      <c r="O12" s="3"/>
      <c r="P12" s="4"/>
      <c r="Q12" s="3"/>
      <c r="R12" s="3"/>
      <c r="S12" s="4"/>
      <c r="T12" s="5"/>
      <c r="U12" s="6"/>
      <c r="V12" s="6"/>
      <c r="W12" s="5"/>
      <c r="X12" s="5"/>
      <c r="AA12" s="11"/>
      <c r="AB12" s="11"/>
      <c r="AC12" s="11"/>
      <c r="AD12" s="11"/>
    </row>
    <row r="13" spans="1:30" s="7" customFormat="1" ht="30" x14ac:dyDescent="0.25">
      <c r="A13" s="2" t="s">
        <v>14</v>
      </c>
      <c r="B13" s="3" t="s">
        <v>15</v>
      </c>
      <c r="C13" s="4"/>
      <c r="D13" s="4" t="s">
        <v>16</v>
      </c>
      <c r="E13" s="4" t="s">
        <v>17</v>
      </c>
      <c r="F13" s="4" t="s">
        <v>18</v>
      </c>
      <c r="G13" s="4"/>
      <c r="H13" s="4"/>
      <c r="I13" s="4"/>
      <c r="J13" s="4" t="s">
        <v>19</v>
      </c>
      <c r="K13" s="4"/>
      <c r="L13" s="4"/>
      <c r="M13" s="4" t="s">
        <v>20</v>
      </c>
      <c r="N13" s="3"/>
      <c r="O13" s="3"/>
      <c r="P13" s="4"/>
      <c r="Q13" s="3" t="s">
        <v>21</v>
      </c>
      <c r="R13" s="3"/>
      <c r="S13" s="4"/>
      <c r="T13" s="5" t="s">
        <v>22</v>
      </c>
      <c r="U13" s="6" t="s">
        <v>23</v>
      </c>
      <c r="V13" s="6"/>
      <c r="W13" s="5" t="s">
        <v>24</v>
      </c>
      <c r="X13" s="5"/>
      <c r="AA13" s="11"/>
      <c r="AB13" s="11"/>
      <c r="AC13" s="11"/>
      <c r="AD13" s="11"/>
    </row>
    <row r="14" spans="1:30" s="11" customFormat="1" ht="30" x14ac:dyDescent="0.25">
      <c r="A14" s="8" t="s">
        <v>25</v>
      </c>
      <c r="B14" s="4" t="s">
        <v>26</v>
      </c>
      <c r="C14" s="4" t="s">
        <v>27</v>
      </c>
      <c r="D14" s="4" t="s">
        <v>28</v>
      </c>
      <c r="E14" s="4" t="s">
        <v>29</v>
      </c>
      <c r="F14" s="4" t="s">
        <v>30</v>
      </c>
      <c r="G14" s="4" t="s">
        <v>31</v>
      </c>
      <c r="H14" s="4" t="s">
        <v>32</v>
      </c>
      <c r="I14" s="4" t="s">
        <v>33</v>
      </c>
      <c r="J14" s="4" t="s">
        <v>34</v>
      </c>
      <c r="K14" s="4" t="s">
        <v>35</v>
      </c>
      <c r="L14" s="4" t="s">
        <v>36</v>
      </c>
      <c r="M14" s="4" t="s">
        <v>37</v>
      </c>
      <c r="N14" s="4" t="s">
        <v>38</v>
      </c>
      <c r="O14" s="4" t="s">
        <v>39</v>
      </c>
      <c r="P14" s="4" t="s">
        <v>40</v>
      </c>
      <c r="Q14" s="4" t="s">
        <v>41</v>
      </c>
      <c r="R14" s="4" t="s">
        <v>42</v>
      </c>
      <c r="S14" s="4" t="s">
        <v>43</v>
      </c>
      <c r="T14" s="9" t="s">
        <v>44</v>
      </c>
      <c r="U14" s="10" t="s">
        <v>45</v>
      </c>
      <c r="V14" s="10" t="s">
        <v>46</v>
      </c>
      <c r="W14" s="9" t="s">
        <v>47</v>
      </c>
      <c r="X14" s="9"/>
      <c r="Y14" s="111"/>
      <c r="Z14" s="111"/>
      <c r="AA14" s="111"/>
      <c r="AB14" s="111"/>
      <c r="AC14" s="111"/>
      <c r="AD14" s="111"/>
    </row>
    <row r="15" spans="1:30" ht="90" x14ac:dyDescent="0.25">
      <c r="A15" s="24">
        <v>4833662012</v>
      </c>
      <c r="B15" s="21">
        <v>80204250585</v>
      </c>
      <c r="C15" s="22" t="s">
        <v>48</v>
      </c>
      <c r="D15" s="27" t="s">
        <v>49</v>
      </c>
      <c r="E15" s="22" t="s">
        <v>50</v>
      </c>
      <c r="I15" s="22"/>
      <c r="J15" s="22" t="s">
        <v>51</v>
      </c>
      <c r="K15" s="22"/>
      <c r="L15" s="27" t="s">
        <v>52</v>
      </c>
      <c r="Q15" s="21" t="s">
        <v>51</v>
      </c>
      <c r="S15" s="27" t="s">
        <v>52</v>
      </c>
      <c r="T15" s="13">
        <v>69767.28</v>
      </c>
      <c r="U15" s="23">
        <v>41284</v>
      </c>
      <c r="V15" s="23">
        <v>42743</v>
      </c>
      <c r="W15" s="13">
        <v>47179.73</v>
      </c>
    </row>
    <row r="16" spans="1:30" ht="60" x14ac:dyDescent="0.25">
      <c r="A16" s="28">
        <v>0</v>
      </c>
      <c r="B16" s="21">
        <v>80204250585</v>
      </c>
      <c r="C16" s="22" t="s">
        <v>48</v>
      </c>
      <c r="D16" s="27" t="s">
        <v>53</v>
      </c>
      <c r="E16" s="22" t="s">
        <v>54</v>
      </c>
      <c r="J16" s="22" t="s">
        <v>55</v>
      </c>
      <c r="K16" s="22"/>
      <c r="L16" s="27" t="s">
        <v>56</v>
      </c>
      <c r="Q16" s="21" t="s">
        <v>55</v>
      </c>
      <c r="S16" s="27" t="s">
        <v>56</v>
      </c>
      <c r="T16" s="13">
        <v>6555</v>
      </c>
      <c r="U16" s="23">
        <v>41699</v>
      </c>
      <c r="V16" s="23">
        <v>42794</v>
      </c>
      <c r="W16" s="13">
        <v>4370</v>
      </c>
    </row>
    <row r="17" spans="1:23" ht="90" x14ac:dyDescent="0.25">
      <c r="A17" s="24" t="s">
        <v>57</v>
      </c>
      <c r="B17" s="21">
        <v>80204250585</v>
      </c>
      <c r="C17" s="22" t="s">
        <v>48</v>
      </c>
      <c r="D17" s="27" t="s">
        <v>58</v>
      </c>
      <c r="E17" s="22" t="s">
        <v>50</v>
      </c>
      <c r="J17" s="22" t="s">
        <v>51</v>
      </c>
      <c r="K17" s="22"/>
      <c r="L17" s="27" t="s">
        <v>52</v>
      </c>
      <c r="Q17" s="21" t="s">
        <v>51</v>
      </c>
      <c r="S17" s="27" t="s">
        <v>52</v>
      </c>
      <c r="T17" s="13">
        <v>17619.599999999999</v>
      </c>
      <c r="U17" s="23">
        <v>41640</v>
      </c>
      <c r="V17" s="23">
        <v>43100</v>
      </c>
      <c r="W17" s="13">
        <v>8809.82</v>
      </c>
    </row>
    <row r="18" spans="1:23" ht="195" x14ac:dyDescent="0.25">
      <c r="A18" s="24" t="s">
        <v>1806</v>
      </c>
      <c r="B18" s="21">
        <v>80204250585</v>
      </c>
      <c r="C18" s="22" t="s">
        <v>48</v>
      </c>
      <c r="D18" s="110" t="s">
        <v>1807</v>
      </c>
      <c r="E18" s="22" t="s">
        <v>50</v>
      </c>
      <c r="J18" s="22" t="s">
        <v>51</v>
      </c>
      <c r="K18" s="22"/>
      <c r="L18" s="27" t="s">
        <v>52</v>
      </c>
      <c r="Q18" s="22" t="s">
        <v>51</v>
      </c>
      <c r="R18" s="22"/>
      <c r="S18" s="27" t="s">
        <v>52</v>
      </c>
      <c r="T18" s="13">
        <v>188000</v>
      </c>
      <c r="U18" s="23">
        <v>42096</v>
      </c>
      <c r="V18" s="23">
        <v>43830</v>
      </c>
      <c r="W18" s="13">
        <f>149698.89+10235.05</f>
        <v>159933.94</v>
      </c>
    </row>
    <row r="19" spans="1:23" ht="409.5" x14ac:dyDescent="0.25">
      <c r="A19" s="24" t="s">
        <v>61</v>
      </c>
      <c r="B19" s="21">
        <v>80204250585</v>
      </c>
      <c r="C19" s="22" t="s">
        <v>48</v>
      </c>
      <c r="D19" s="27" t="s">
        <v>62</v>
      </c>
      <c r="E19" s="22" t="s">
        <v>63</v>
      </c>
      <c r="F19" s="27" t="s">
        <v>64</v>
      </c>
      <c r="H19" s="27" t="s">
        <v>65</v>
      </c>
      <c r="I19" s="27" t="s">
        <v>66</v>
      </c>
      <c r="J19" s="22" t="s">
        <v>67</v>
      </c>
      <c r="K19" s="22"/>
      <c r="L19" s="22" t="s">
        <v>1561</v>
      </c>
      <c r="Q19" s="21" t="s">
        <v>68</v>
      </c>
      <c r="S19" s="27" t="s">
        <v>69</v>
      </c>
      <c r="T19" s="13">
        <v>1779354</v>
      </c>
      <c r="U19" s="23">
        <v>42095</v>
      </c>
      <c r="V19" s="23">
        <v>43921</v>
      </c>
    </row>
    <row r="20" spans="1:23" ht="105" x14ac:dyDescent="0.25">
      <c r="A20" s="24" t="s">
        <v>70</v>
      </c>
      <c r="B20" s="21">
        <v>80204250585</v>
      </c>
      <c r="C20" s="22" t="s">
        <v>48</v>
      </c>
      <c r="D20" s="27" t="s">
        <v>71</v>
      </c>
      <c r="E20" s="22" t="s">
        <v>50</v>
      </c>
      <c r="K20" s="22"/>
      <c r="Q20" s="21" t="s">
        <v>59</v>
      </c>
      <c r="S20" s="27" t="s">
        <v>72</v>
      </c>
      <c r="T20" s="13">
        <v>256452</v>
      </c>
      <c r="U20" s="23">
        <v>42125</v>
      </c>
      <c r="V20" s="23">
        <v>43952</v>
      </c>
      <c r="W20" s="13">
        <v>244240</v>
      </c>
    </row>
    <row r="21" spans="1:23" ht="409.5" x14ac:dyDescent="0.25">
      <c r="A21" s="24" t="s">
        <v>73</v>
      </c>
      <c r="B21" s="21">
        <v>80204250585</v>
      </c>
      <c r="C21" s="22" t="s">
        <v>48</v>
      </c>
      <c r="D21" s="27" t="s">
        <v>74</v>
      </c>
      <c r="E21" s="22" t="s">
        <v>63</v>
      </c>
      <c r="F21" s="27" t="s">
        <v>1598</v>
      </c>
      <c r="H21" s="27" t="s">
        <v>1599</v>
      </c>
      <c r="I21" s="27" t="s">
        <v>1600</v>
      </c>
      <c r="K21" s="22"/>
      <c r="M21" s="27" t="s">
        <v>75</v>
      </c>
      <c r="O21" s="16" t="s">
        <v>76</v>
      </c>
      <c r="P21" s="27" t="s">
        <v>77</v>
      </c>
      <c r="T21" s="13">
        <v>19376763.190000001</v>
      </c>
      <c r="U21" s="23">
        <v>42005</v>
      </c>
      <c r="V21" s="23">
        <v>44135</v>
      </c>
      <c r="W21" s="13">
        <v>12445668.279999999</v>
      </c>
    </row>
    <row r="22" spans="1:23" ht="135" x14ac:dyDescent="0.25">
      <c r="A22" s="24" t="s">
        <v>79</v>
      </c>
      <c r="B22" s="21">
        <v>80204250585</v>
      </c>
      <c r="C22" s="22" t="s">
        <v>48</v>
      </c>
      <c r="D22" s="27" t="s">
        <v>80</v>
      </c>
      <c r="E22" s="22" t="s">
        <v>50</v>
      </c>
      <c r="J22" s="22" t="s">
        <v>51</v>
      </c>
      <c r="K22" s="22"/>
      <c r="L22" s="27" t="s">
        <v>52</v>
      </c>
      <c r="Q22" s="21" t="s">
        <v>51</v>
      </c>
      <c r="R22" s="21"/>
      <c r="S22" s="27" t="s">
        <v>52</v>
      </c>
      <c r="T22" s="13">
        <v>23627.83</v>
      </c>
      <c r="U22" s="23">
        <v>42697</v>
      </c>
      <c r="V22" s="23">
        <v>43074</v>
      </c>
      <c r="W22" s="13">
        <v>0</v>
      </c>
    </row>
    <row r="23" spans="1:23" ht="135" x14ac:dyDescent="0.25">
      <c r="A23" s="26" t="s">
        <v>81</v>
      </c>
      <c r="B23" s="21">
        <v>80204250585</v>
      </c>
      <c r="C23" s="22" t="s">
        <v>48</v>
      </c>
      <c r="D23" s="22" t="s">
        <v>82</v>
      </c>
      <c r="E23" s="22" t="s">
        <v>83</v>
      </c>
      <c r="F23" s="22"/>
      <c r="G23" s="22"/>
      <c r="H23" s="22"/>
      <c r="I23" s="22"/>
      <c r="J23" s="22" t="s">
        <v>84</v>
      </c>
      <c r="K23" s="22"/>
      <c r="L23" s="22" t="s">
        <v>85</v>
      </c>
      <c r="M23" s="22"/>
      <c r="N23" s="21"/>
      <c r="O23" s="21"/>
      <c r="P23" s="22"/>
      <c r="Q23" s="21" t="s">
        <v>86</v>
      </c>
      <c r="R23" s="21"/>
      <c r="S23" s="22" t="s">
        <v>87</v>
      </c>
      <c r="T23" s="13">
        <v>174000</v>
      </c>
      <c r="U23" s="23">
        <v>42736</v>
      </c>
      <c r="V23" s="23">
        <v>43904</v>
      </c>
      <c r="W23" s="13">
        <v>174000</v>
      </c>
    </row>
    <row r="24" spans="1:23" ht="210" x14ac:dyDescent="0.25">
      <c r="A24" s="26" t="s">
        <v>90</v>
      </c>
      <c r="B24" s="21">
        <v>80204250585</v>
      </c>
      <c r="C24" s="22" t="s">
        <v>48</v>
      </c>
      <c r="D24" s="22" t="s">
        <v>91</v>
      </c>
      <c r="E24" s="22" t="s">
        <v>50</v>
      </c>
      <c r="F24" s="22"/>
      <c r="G24" s="22"/>
      <c r="H24" s="22"/>
      <c r="I24" s="22"/>
      <c r="J24" s="22">
        <v>12878470157</v>
      </c>
      <c r="K24" s="22"/>
      <c r="L24" s="22" t="s">
        <v>92</v>
      </c>
      <c r="M24" s="22"/>
      <c r="N24" s="21"/>
      <c r="O24" s="21"/>
      <c r="P24" s="22"/>
      <c r="Q24" s="21">
        <v>12878470157</v>
      </c>
      <c r="R24" s="21"/>
      <c r="S24" s="22" t="s">
        <v>92</v>
      </c>
      <c r="T24" s="13">
        <v>585101.84000000008</v>
      </c>
      <c r="U24" s="23">
        <v>42880</v>
      </c>
      <c r="V24" s="23">
        <v>45069</v>
      </c>
      <c r="W24" s="13">
        <f>458034.24+20323.84*2+20323.84+20323.84*2+20323.84</f>
        <v>579977.28</v>
      </c>
    </row>
    <row r="25" spans="1:23" ht="105" x14ac:dyDescent="0.25">
      <c r="A25" s="26" t="s">
        <v>93</v>
      </c>
      <c r="B25" s="21">
        <v>80204250585</v>
      </c>
      <c r="C25" s="22" t="s">
        <v>48</v>
      </c>
      <c r="D25" s="22" t="s">
        <v>94</v>
      </c>
      <c r="E25" s="22" t="s">
        <v>54</v>
      </c>
      <c r="F25" s="22"/>
      <c r="G25" s="22"/>
      <c r="H25" s="22"/>
      <c r="I25" s="22"/>
      <c r="J25" s="22" t="s">
        <v>95</v>
      </c>
      <c r="K25" s="22"/>
      <c r="L25" s="27" t="s">
        <v>96</v>
      </c>
      <c r="M25" s="22"/>
      <c r="N25" s="21"/>
      <c r="O25" s="21"/>
      <c r="P25" s="22"/>
      <c r="Q25" s="21" t="s">
        <v>95</v>
      </c>
      <c r="R25" s="21"/>
      <c r="S25" s="27" t="s">
        <v>96</v>
      </c>
      <c r="T25" s="13">
        <v>1734883.7</v>
      </c>
      <c r="U25" s="23">
        <v>42917</v>
      </c>
      <c r="V25" s="23">
        <v>43646</v>
      </c>
      <c r="W25" s="13">
        <f>1004487.81+415.75+1173.36</f>
        <v>1006076.92</v>
      </c>
    </row>
    <row r="26" spans="1:23" ht="195" x14ac:dyDescent="0.25">
      <c r="A26" s="26" t="s">
        <v>97</v>
      </c>
      <c r="B26" s="21">
        <v>80204250585</v>
      </c>
      <c r="C26" s="22" t="s">
        <v>48</v>
      </c>
      <c r="D26" s="22" t="s">
        <v>98</v>
      </c>
      <c r="E26" s="22" t="s">
        <v>63</v>
      </c>
      <c r="F26" s="22"/>
      <c r="G26" s="22"/>
      <c r="H26" s="22"/>
      <c r="I26" s="22"/>
      <c r="J26" s="22" t="s">
        <v>99</v>
      </c>
      <c r="K26" s="22"/>
      <c r="L26" s="22" t="s">
        <v>100</v>
      </c>
      <c r="M26" s="22"/>
      <c r="N26" s="21"/>
      <c r="O26" s="21"/>
      <c r="P26" s="22"/>
      <c r="Q26" s="21" t="s">
        <v>101</v>
      </c>
      <c r="R26" s="21"/>
      <c r="S26" s="22" t="s">
        <v>102</v>
      </c>
      <c r="T26" s="13">
        <v>1008100</v>
      </c>
      <c r="U26" s="23">
        <v>43081</v>
      </c>
      <c r="V26" s="23">
        <v>44272</v>
      </c>
      <c r="W26" s="13">
        <v>1008100</v>
      </c>
    </row>
    <row r="27" spans="1:23" ht="120" x14ac:dyDescent="0.25">
      <c r="A27" s="24" t="s">
        <v>103</v>
      </c>
      <c r="B27" s="21">
        <v>80204250585</v>
      </c>
      <c r="C27" s="27" t="s">
        <v>48</v>
      </c>
      <c r="D27" s="27" t="s">
        <v>104</v>
      </c>
      <c r="E27" s="22" t="s">
        <v>50</v>
      </c>
      <c r="I27" s="22"/>
      <c r="J27" s="22" t="s">
        <v>105</v>
      </c>
      <c r="L27" s="27" t="s">
        <v>106</v>
      </c>
      <c r="N27" s="21"/>
      <c r="Q27" s="21" t="s">
        <v>105</v>
      </c>
      <c r="R27" s="25"/>
      <c r="S27" s="27" t="s">
        <v>106</v>
      </c>
      <c r="T27" s="13">
        <v>1928500</v>
      </c>
      <c r="U27" s="23">
        <v>43143</v>
      </c>
      <c r="V27" s="23">
        <v>44286</v>
      </c>
      <c r="W27" s="13">
        <v>1479031.2700000003</v>
      </c>
    </row>
    <row r="28" spans="1:23" ht="105" x14ac:dyDescent="0.25">
      <c r="A28" s="24" t="s">
        <v>112</v>
      </c>
      <c r="B28" s="21">
        <v>80204250585</v>
      </c>
      <c r="C28" s="27" t="s">
        <v>48</v>
      </c>
      <c r="D28" s="27" t="s">
        <v>107</v>
      </c>
      <c r="E28" s="22" t="s">
        <v>108</v>
      </c>
      <c r="I28" s="22"/>
      <c r="J28" s="22" t="s">
        <v>109</v>
      </c>
      <c r="L28" s="27" t="s">
        <v>110</v>
      </c>
      <c r="N28" s="21"/>
      <c r="Q28" s="21" t="s">
        <v>109</v>
      </c>
      <c r="R28" s="25"/>
      <c r="S28" s="27" t="s">
        <v>110</v>
      </c>
      <c r="T28" s="13">
        <v>38096.21</v>
      </c>
      <c r="U28" s="23">
        <v>43313</v>
      </c>
      <c r="V28" s="23">
        <v>43465</v>
      </c>
      <c r="W28" s="13">
        <v>14218.32</v>
      </c>
    </row>
    <row r="29" spans="1:23" ht="135" x14ac:dyDescent="0.25">
      <c r="A29" s="26" t="s">
        <v>113</v>
      </c>
      <c r="B29" s="21">
        <v>80204250585</v>
      </c>
      <c r="C29" s="27" t="s">
        <v>48</v>
      </c>
      <c r="D29" s="22" t="s">
        <v>114</v>
      </c>
      <c r="E29" s="22" t="s">
        <v>83</v>
      </c>
      <c r="F29" s="22"/>
      <c r="G29" s="22"/>
      <c r="H29" s="22"/>
      <c r="I29" s="22"/>
      <c r="J29" s="22" t="s">
        <v>115</v>
      </c>
      <c r="K29" s="22"/>
      <c r="L29" s="22" t="s">
        <v>116</v>
      </c>
      <c r="M29" s="22"/>
      <c r="N29" s="21"/>
      <c r="O29" s="21"/>
      <c r="P29" s="22"/>
      <c r="Q29" s="21" t="s">
        <v>88</v>
      </c>
      <c r="R29" s="25"/>
      <c r="S29" s="27" t="s">
        <v>89</v>
      </c>
      <c r="T29" s="13">
        <v>134433.60000000001</v>
      </c>
      <c r="U29" s="23">
        <v>43374</v>
      </c>
      <c r="V29" s="23">
        <v>44469</v>
      </c>
      <c r="W29" s="13">
        <v>134433.60000000001</v>
      </c>
    </row>
    <row r="30" spans="1:23" ht="60" x14ac:dyDescent="0.25">
      <c r="A30" s="24" t="s">
        <v>117</v>
      </c>
      <c r="B30" s="21">
        <v>80204250585</v>
      </c>
      <c r="C30" s="27" t="s">
        <v>48</v>
      </c>
      <c r="D30" s="27" t="s">
        <v>118</v>
      </c>
      <c r="E30" s="22" t="s">
        <v>108</v>
      </c>
      <c r="I30" s="22"/>
      <c r="J30" s="22" t="s">
        <v>51</v>
      </c>
      <c r="L30" s="27" t="s">
        <v>52</v>
      </c>
      <c r="N30" s="21"/>
      <c r="Q30" s="21" t="s">
        <v>51</v>
      </c>
      <c r="S30" s="27" t="s">
        <v>52</v>
      </c>
      <c r="T30" s="13">
        <v>3912.48</v>
      </c>
      <c r="U30" s="23">
        <v>43447</v>
      </c>
      <c r="V30" s="23">
        <v>43478</v>
      </c>
      <c r="W30" s="13">
        <v>0</v>
      </c>
    </row>
    <row r="31" spans="1:23" ht="120" x14ac:dyDescent="0.25">
      <c r="A31" s="24" t="s">
        <v>119</v>
      </c>
      <c r="B31" s="21">
        <v>80204250585</v>
      </c>
      <c r="C31" s="27" t="s">
        <v>48</v>
      </c>
      <c r="D31" s="27" t="s">
        <v>120</v>
      </c>
      <c r="E31" s="22" t="s">
        <v>50</v>
      </c>
      <c r="I31" s="22"/>
      <c r="J31" s="22" t="s">
        <v>51</v>
      </c>
      <c r="L31" s="27" t="s">
        <v>52</v>
      </c>
      <c r="N31" s="21"/>
      <c r="Q31" s="21" t="s">
        <v>51</v>
      </c>
      <c r="S31" s="27" t="s">
        <v>52</v>
      </c>
      <c r="T31" s="13">
        <v>188349.31</v>
      </c>
      <c r="U31" s="23">
        <v>43445</v>
      </c>
      <c r="V31" s="23">
        <v>45067</v>
      </c>
      <c r="W31" s="13">
        <f>166775.2+2293.68</f>
        <v>169068.88</v>
      </c>
    </row>
    <row r="32" spans="1:23" ht="135" x14ac:dyDescent="0.25">
      <c r="A32" s="24" t="s">
        <v>121</v>
      </c>
      <c r="B32" s="21">
        <v>80204250585</v>
      </c>
      <c r="C32" s="27" t="s">
        <v>48</v>
      </c>
      <c r="D32" s="27" t="s">
        <v>122</v>
      </c>
      <c r="E32" s="22" t="s">
        <v>50</v>
      </c>
      <c r="I32" s="22"/>
      <c r="J32" s="22" t="s">
        <v>123</v>
      </c>
      <c r="L32" s="27" t="s">
        <v>124</v>
      </c>
      <c r="N32" s="21"/>
      <c r="Q32" s="21" t="s">
        <v>123</v>
      </c>
      <c r="R32" s="25"/>
      <c r="S32" s="27" t="s">
        <v>124</v>
      </c>
      <c r="T32" s="13">
        <v>98000</v>
      </c>
      <c r="U32" s="23">
        <v>43617</v>
      </c>
      <c r="V32" s="23">
        <v>44926</v>
      </c>
      <c r="W32" s="13">
        <f>33177.72+2194.49+2197.63+2187.64+1877.93+2214.17+2058.53+3916.3</f>
        <v>49824.409999999996</v>
      </c>
    </row>
    <row r="33" spans="1:23" ht="210" x14ac:dyDescent="0.25">
      <c r="A33" s="26" t="s">
        <v>125</v>
      </c>
      <c r="B33" s="21">
        <v>80204250585</v>
      </c>
      <c r="C33" s="22" t="s">
        <v>48</v>
      </c>
      <c r="D33" s="22" t="s">
        <v>126</v>
      </c>
      <c r="E33" s="22" t="s">
        <v>63</v>
      </c>
      <c r="F33" s="22"/>
      <c r="G33" s="22"/>
      <c r="H33" s="22"/>
      <c r="I33" s="22"/>
      <c r="J33" s="22" t="s">
        <v>127</v>
      </c>
      <c r="K33" s="22"/>
      <c r="L33" s="22" t="s">
        <v>128</v>
      </c>
      <c r="M33" s="22"/>
      <c r="N33" s="21"/>
      <c r="O33" s="21"/>
      <c r="P33" s="22"/>
      <c r="Q33" s="21" t="s">
        <v>129</v>
      </c>
      <c r="R33" s="21"/>
      <c r="S33" s="22" t="s">
        <v>130</v>
      </c>
      <c r="T33" s="13">
        <v>1800000</v>
      </c>
      <c r="U33" s="23">
        <v>43101</v>
      </c>
      <c r="V33" s="23">
        <v>44196</v>
      </c>
      <c r="W33" s="13">
        <v>120460</v>
      </c>
    </row>
    <row r="34" spans="1:23" ht="135" x14ac:dyDescent="0.25">
      <c r="A34" s="26" t="s">
        <v>131</v>
      </c>
      <c r="B34" s="21">
        <v>80204250585</v>
      </c>
      <c r="C34" s="22" t="s">
        <v>48</v>
      </c>
      <c r="D34" s="22" t="s">
        <v>132</v>
      </c>
      <c r="E34" s="22" t="s">
        <v>54</v>
      </c>
      <c r="F34" s="22"/>
      <c r="G34" s="22"/>
      <c r="H34" s="22"/>
      <c r="I34" s="22"/>
      <c r="K34" s="22"/>
      <c r="L34" s="22" t="s">
        <v>133</v>
      </c>
      <c r="M34" s="22"/>
      <c r="N34" s="21"/>
      <c r="O34" s="21"/>
      <c r="P34" s="22"/>
      <c r="R34" s="21"/>
      <c r="S34" s="22" t="s">
        <v>133</v>
      </c>
      <c r="T34" s="13">
        <v>7300</v>
      </c>
      <c r="U34" s="23">
        <v>43101</v>
      </c>
      <c r="V34" s="23">
        <v>43465</v>
      </c>
      <c r="W34" s="13">
        <f>1825*2</f>
        <v>3650</v>
      </c>
    </row>
    <row r="35" spans="1:23" ht="90" x14ac:dyDescent="0.25">
      <c r="A35" s="26" t="s">
        <v>134</v>
      </c>
      <c r="B35" s="21">
        <v>80204250585</v>
      </c>
      <c r="C35" s="22" t="s">
        <v>48</v>
      </c>
      <c r="D35" s="22" t="s">
        <v>135</v>
      </c>
      <c r="E35" s="22" t="s">
        <v>54</v>
      </c>
      <c r="F35" s="22"/>
      <c r="G35" s="22"/>
      <c r="H35" s="22"/>
      <c r="I35" s="22"/>
      <c r="J35" s="22" t="s">
        <v>136</v>
      </c>
      <c r="K35" s="22"/>
      <c r="L35" s="27" t="s">
        <v>137</v>
      </c>
      <c r="M35" s="22"/>
      <c r="N35" s="21"/>
      <c r="O35" s="21"/>
      <c r="P35" s="22"/>
      <c r="Q35" s="21" t="s">
        <v>136</v>
      </c>
      <c r="R35" s="21"/>
      <c r="S35" s="27" t="s">
        <v>137</v>
      </c>
      <c r="T35" s="13">
        <v>87512</v>
      </c>
      <c r="U35" s="23">
        <v>43088</v>
      </c>
      <c r="V35" s="23">
        <v>44548</v>
      </c>
      <c r="W35" s="13">
        <v>92297.1</v>
      </c>
    </row>
    <row r="36" spans="1:23" ht="105" x14ac:dyDescent="0.25">
      <c r="A36" s="26" t="s">
        <v>138</v>
      </c>
      <c r="B36" s="21">
        <v>80204250585</v>
      </c>
      <c r="C36" s="22" t="s">
        <v>48</v>
      </c>
      <c r="D36" s="22" t="s">
        <v>139</v>
      </c>
      <c r="E36" s="22" t="s">
        <v>108</v>
      </c>
      <c r="F36" s="22"/>
      <c r="G36" s="22"/>
      <c r="H36" s="22"/>
      <c r="I36" s="22"/>
      <c r="K36" s="22"/>
      <c r="L36" s="22"/>
      <c r="M36" s="22"/>
      <c r="N36" s="21"/>
      <c r="O36" s="21"/>
      <c r="P36" s="22"/>
      <c r="R36" s="21"/>
      <c r="S36" s="22"/>
      <c r="T36" s="13">
        <v>26300.799999999999</v>
      </c>
      <c r="W36" s="13">
        <v>0</v>
      </c>
    </row>
    <row r="37" spans="1:23" ht="75" x14ac:dyDescent="0.25">
      <c r="A37" s="28" t="s">
        <v>140</v>
      </c>
      <c r="B37" s="21">
        <v>80204250585</v>
      </c>
      <c r="C37" s="22" t="s">
        <v>141</v>
      </c>
      <c r="D37" s="22" t="s">
        <v>142</v>
      </c>
      <c r="E37" s="22" t="s">
        <v>108</v>
      </c>
      <c r="F37" s="22"/>
      <c r="H37" s="22"/>
      <c r="I37" s="22"/>
      <c r="K37" s="22"/>
      <c r="L37" s="22"/>
      <c r="M37" s="22"/>
      <c r="O37" s="21"/>
      <c r="P37" s="22"/>
      <c r="Q37" s="21" t="s">
        <v>143</v>
      </c>
      <c r="R37" s="21"/>
      <c r="S37" s="22" t="s">
        <v>144</v>
      </c>
      <c r="T37" s="13">
        <v>23200</v>
      </c>
      <c r="U37" s="23">
        <v>43108</v>
      </c>
      <c r="V37" s="23">
        <v>43179</v>
      </c>
      <c r="W37" s="13">
        <v>23200</v>
      </c>
    </row>
    <row r="38" spans="1:23" ht="90" x14ac:dyDescent="0.25">
      <c r="A38" s="28" t="s">
        <v>145</v>
      </c>
      <c r="B38" s="21">
        <v>80204250585</v>
      </c>
      <c r="C38" s="22" t="s">
        <v>141</v>
      </c>
      <c r="D38" s="22" t="s">
        <v>146</v>
      </c>
      <c r="E38" s="22" t="s">
        <v>108</v>
      </c>
      <c r="F38" s="22"/>
      <c r="H38" s="22"/>
      <c r="I38" s="22"/>
      <c r="K38" s="22"/>
      <c r="L38" s="22"/>
      <c r="M38" s="22"/>
      <c r="O38" s="21"/>
      <c r="P38" s="22"/>
      <c r="Q38" s="21" t="s">
        <v>109</v>
      </c>
      <c r="R38" s="21"/>
      <c r="S38" s="22" t="s">
        <v>147</v>
      </c>
      <c r="T38" s="13">
        <v>3380.0000000000005</v>
      </c>
      <c r="U38" s="23">
        <v>43117</v>
      </c>
      <c r="V38" s="23">
        <v>43131</v>
      </c>
      <c r="W38" s="13">
        <v>3380</v>
      </c>
    </row>
    <row r="39" spans="1:23" ht="105" x14ac:dyDescent="0.25">
      <c r="A39" s="28">
        <v>7363339391</v>
      </c>
      <c r="B39" s="21">
        <v>80204250585</v>
      </c>
      <c r="C39" s="22" t="s">
        <v>141</v>
      </c>
      <c r="D39" s="22" t="s">
        <v>148</v>
      </c>
      <c r="E39" s="22" t="s">
        <v>54</v>
      </c>
      <c r="F39" s="22"/>
      <c r="H39" s="22"/>
      <c r="I39" s="22"/>
      <c r="J39" s="22" t="s">
        <v>149</v>
      </c>
      <c r="K39" s="22"/>
      <c r="L39" s="22" t="s">
        <v>150</v>
      </c>
      <c r="M39" s="22"/>
      <c r="O39" s="21"/>
      <c r="P39" s="22"/>
      <c r="Q39" s="21" t="s">
        <v>149</v>
      </c>
      <c r="R39" s="21"/>
      <c r="S39" s="22" t="s">
        <v>150</v>
      </c>
      <c r="T39" s="13">
        <v>56000</v>
      </c>
      <c r="U39" s="23">
        <v>43150</v>
      </c>
      <c r="V39" s="23">
        <v>43514</v>
      </c>
      <c r="W39" s="13">
        <v>56000</v>
      </c>
    </row>
    <row r="40" spans="1:23" ht="75" x14ac:dyDescent="0.25">
      <c r="A40" s="28" t="s">
        <v>151</v>
      </c>
      <c r="B40" s="21">
        <v>80204250585</v>
      </c>
      <c r="C40" s="22" t="s">
        <v>141</v>
      </c>
      <c r="D40" s="22" t="s">
        <v>152</v>
      </c>
      <c r="E40" s="22" t="s">
        <v>54</v>
      </c>
      <c r="F40" s="22"/>
      <c r="H40" s="22"/>
      <c r="I40" s="22"/>
      <c r="J40" s="22" t="s">
        <v>153</v>
      </c>
      <c r="K40" s="22"/>
      <c r="L40" s="22" t="s">
        <v>154</v>
      </c>
      <c r="M40" s="22"/>
      <c r="O40" s="21"/>
      <c r="P40" s="22"/>
      <c r="Q40" s="21" t="s">
        <v>153</v>
      </c>
      <c r="R40" s="21"/>
      <c r="S40" s="22" t="s">
        <v>154</v>
      </c>
      <c r="T40" s="13">
        <v>135000</v>
      </c>
      <c r="U40" s="23">
        <v>43153</v>
      </c>
      <c r="V40" s="23">
        <v>44248</v>
      </c>
      <c r="W40" s="13">
        <v>135000</v>
      </c>
    </row>
    <row r="41" spans="1:23" ht="60" x14ac:dyDescent="0.25">
      <c r="A41" s="28" t="s">
        <v>155</v>
      </c>
      <c r="B41" s="21">
        <v>80204250585</v>
      </c>
      <c r="C41" s="22" t="s">
        <v>141</v>
      </c>
      <c r="D41" s="22" t="s">
        <v>156</v>
      </c>
      <c r="E41" s="22" t="s">
        <v>54</v>
      </c>
      <c r="F41" s="22"/>
      <c r="H41" s="22"/>
      <c r="I41" s="22"/>
      <c r="J41" s="22" t="s">
        <v>157</v>
      </c>
      <c r="K41" s="22"/>
      <c r="L41" s="22" t="s">
        <v>158</v>
      </c>
      <c r="M41" s="22"/>
      <c r="O41" s="21"/>
      <c r="P41" s="22"/>
      <c r="Q41" s="21" t="s">
        <v>157</v>
      </c>
      <c r="R41" s="21"/>
      <c r="S41" s="22" t="s">
        <v>158</v>
      </c>
      <c r="T41" s="13">
        <v>5625</v>
      </c>
      <c r="U41" s="23">
        <v>43160</v>
      </c>
      <c r="V41" s="23">
        <v>43404</v>
      </c>
      <c r="W41" s="13">
        <v>4687.5</v>
      </c>
    </row>
    <row r="42" spans="1:23" ht="60" x14ac:dyDescent="0.25">
      <c r="A42" s="28" t="s">
        <v>159</v>
      </c>
      <c r="B42" s="21">
        <v>80204250585</v>
      </c>
      <c r="C42" s="22" t="s">
        <v>141</v>
      </c>
      <c r="D42" s="22" t="s">
        <v>160</v>
      </c>
      <c r="E42" s="22" t="s">
        <v>108</v>
      </c>
      <c r="F42" s="22"/>
      <c r="H42" s="22"/>
      <c r="I42" s="22"/>
      <c r="J42" s="22">
        <v>13888401000</v>
      </c>
      <c r="K42" s="22"/>
      <c r="L42" s="22" t="s">
        <v>161</v>
      </c>
      <c r="M42" s="22"/>
      <c r="O42" s="21"/>
      <c r="P42" s="22"/>
      <c r="Q42" s="21">
        <v>13888401000</v>
      </c>
      <c r="R42" s="21"/>
      <c r="S42" s="22" t="s">
        <v>161</v>
      </c>
      <c r="T42" s="13">
        <v>2280</v>
      </c>
      <c r="U42" s="23">
        <v>43200</v>
      </c>
      <c r="V42" s="23">
        <v>43229</v>
      </c>
      <c r="W42" s="13">
        <v>2090</v>
      </c>
    </row>
    <row r="43" spans="1:23" ht="75" x14ac:dyDescent="0.25">
      <c r="A43" s="28" t="s">
        <v>162</v>
      </c>
      <c r="B43" s="21">
        <v>80204250585</v>
      </c>
      <c r="C43" s="22" t="s">
        <v>141</v>
      </c>
      <c r="D43" s="22" t="s">
        <v>163</v>
      </c>
      <c r="E43" s="22" t="s">
        <v>164</v>
      </c>
      <c r="F43" s="22"/>
      <c r="H43" s="22"/>
      <c r="I43" s="22"/>
      <c r="K43" s="22"/>
      <c r="L43" s="22"/>
      <c r="M43" s="22"/>
      <c r="O43" s="21"/>
      <c r="P43" s="22"/>
      <c r="Q43" s="21">
        <v>11334081004</v>
      </c>
      <c r="R43" s="21"/>
      <c r="S43" s="22" t="s">
        <v>165</v>
      </c>
      <c r="T43" s="13">
        <v>32262.295081967215</v>
      </c>
      <c r="U43" s="23">
        <v>43221</v>
      </c>
      <c r="V43" s="23">
        <v>43616</v>
      </c>
      <c r="W43" s="13">
        <v>9500</v>
      </c>
    </row>
    <row r="44" spans="1:23" ht="90" x14ac:dyDescent="0.25">
      <c r="A44" s="28" t="s">
        <v>166</v>
      </c>
      <c r="B44" s="21">
        <v>80204250585</v>
      </c>
      <c r="C44" s="22" t="s">
        <v>141</v>
      </c>
      <c r="D44" s="22" t="s">
        <v>167</v>
      </c>
      <c r="E44" s="22" t="s">
        <v>50</v>
      </c>
      <c r="F44" s="22"/>
      <c r="H44" s="22"/>
      <c r="I44" s="22"/>
      <c r="K44" s="22"/>
      <c r="L44" s="22"/>
      <c r="M44" s="22"/>
      <c r="O44" s="21"/>
      <c r="P44" s="22"/>
      <c r="Q44" s="21" t="s">
        <v>168</v>
      </c>
      <c r="R44" s="13"/>
      <c r="S44" s="22" t="s">
        <v>169</v>
      </c>
      <c r="T44" s="13">
        <v>24636.9</v>
      </c>
      <c r="U44" s="23">
        <v>43213</v>
      </c>
      <c r="W44" s="13">
        <f>23733.9+903</f>
        <v>24636.9</v>
      </c>
    </row>
    <row r="45" spans="1:23" ht="315" x14ac:dyDescent="0.25">
      <c r="A45" s="28" t="s">
        <v>170</v>
      </c>
      <c r="B45" s="21">
        <v>80204250585</v>
      </c>
      <c r="C45" s="22" t="s">
        <v>141</v>
      </c>
      <c r="D45" s="22" t="s">
        <v>171</v>
      </c>
      <c r="E45" s="22" t="s">
        <v>108</v>
      </c>
      <c r="F45" s="22"/>
      <c r="H45" s="22"/>
      <c r="I45" s="22"/>
      <c r="J45" s="22" t="s">
        <v>172</v>
      </c>
      <c r="K45" s="22"/>
      <c r="L45" s="22" t="s">
        <v>173</v>
      </c>
      <c r="M45" s="22"/>
      <c r="O45" s="21"/>
      <c r="P45" s="22"/>
      <c r="Q45" s="21" t="s">
        <v>86</v>
      </c>
      <c r="R45" s="21"/>
      <c r="S45" s="22" t="s">
        <v>174</v>
      </c>
      <c r="T45" s="13">
        <v>134775</v>
      </c>
      <c r="U45" s="23">
        <v>43229</v>
      </c>
      <c r="W45" s="13">
        <v>0</v>
      </c>
    </row>
    <row r="46" spans="1:23" ht="150" x14ac:dyDescent="0.25">
      <c r="A46" s="28" t="s">
        <v>175</v>
      </c>
      <c r="B46" s="21">
        <v>80204250585</v>
      </c>
      <c r="C46" s="22" t="s">
        <v>141</v>
      </c>
      <c r="D46" s="22" t="s">
        <v>176</v>
      </c>
      <c r="E46" s="22" t="s">
        <v>108</v>
      </c>
      <c r="F46" s="22"/>
      <c r="H46" s="22"/>
      <c r="I46" s="22"/>
      <c r="J46" s="22" t="s">
        <v>177</v>
      </c>
      <c r="K46" s="22"/>
      <c r="L46" s="22" t="s">
        <v>178</v>
      </c>
      <c r="M46" s="22"/>
      <c r="O46" s="21"/>
      <c r="P46" s="22"/>
      <c r="Q46" s="21" t="s">
        <v>179</v>
      </c>
      <c r="R46" s="21"/>
      <c r="S46" s="22" t="s">
        <v>180</v>
      </c>
      <c r="T46" s="13">
        <v>51288</v>
      </c>
      <c r="U46" s="23">
        <v>43150</v>
      </c>
      <c r="V46" s="23">
        <v>44245</v>
      </c>
      <c r="W46" s="13">
        <v>51227.96</v>
      </c>
    </row>
    <row r="47" spans="1:23" ht="75" x14ac:dyDescent="0.25">
      <c r="A47" s="28" t="s">
        <v>181</v>
      </c>
      <c r="B47" s="21">
        <v>80204250585</v>
      </c>
      <c r="C47" s="22" t="s">
        <v>48</v>
      </c>
      <c r="D47" s="22" t="s">
        <v>182</v>
      </c>
      <c r="E47" s="22" t="s">
        <v>54</v>
      </c>
      <c r="F47" s="22"/>
      <c r="H47" s="22"/>
      <c r="I47" s="22"/>
      <c r="K47" s="22"/>
      <c r="L47" s="22" t="s">
        <v>183</v>
      </c>
      <c r="M47" s="22"/>
      <c r="O47" s="21"/>
      <c r="P47" s="22"/>
      <c r="R47" s="21"/>
      <c r="S47" s="22" t="s">
        <v>183</v>
      </c>
      <c r="T47" s="13">
        <v>9768</v>
      </c>
      <c r="U47" s="23">
        <v>43160</v>
      </c>
      <c r="V47" s="23">
        <v>44255</v>
      </c>
      <c r="W47" s="13">
        <v>13288.35</v>
      </c>
    </row>
    <row r="48" spans="1:23" ht="75" x14ac:dyDescent="0.25">
      <c r="A48" s="28" t="s">
        <v>184</v>
      </c>
      <c r="B48" s="21">
        <v>80204250585</v>
      </c>
      <c r="C48" s="22" t="s">
        <v>48</v>
      </c>
      <c r="D48" s="22" t="s">
        <v>185</v>
      </c>
      <c r="E48" s="22" t="s">
        <v>83</v>
      </c>
      <c r="F48" s="22"/>
      <c r="H48" s="22"/>
      <c r="I48" s="22"/>
      <c r="K48" s="22"/>
      <c r="L48" s="22"/>
      <c r="M48" s="22"/>
      <c r="N48" s="21"/>
      <c r="O48" s="21"/>
      <c r="P48" s="22"/>
      <c r="Q48" s="21" t="s">
        <v>186</v>
      </c>
      <c r="R48" s="21"/>
      <c r="S48" s="22" t="s">
        <v>187</v>
      </c>
      <c r="T48" s="13">
        <v>116006.39999999999</v>
      </c>
      <c r="U48" s="23">
        <v>43709</v>
      </c>
      <c r="V48" s="23">
        <v>44043</v>
      </c>
      <c r="W48" s="13">
        <v>224248.83</v>
      </c>
    </row>
    <row r="49" spans="1:23" ht="75" x14ac:dyDescent="0.25">
      <c r="A49" s="26" t="s">
        <v>188</v>
      </c>
      <c r="B49" s="21">
        <v>80204250585</v>
      </c>
      <c r="C49" s="22" t="s">
        <v>48</v>
      </c>
      <c r="D49" s="22" t="s">
        <v>189</v>
      </c>
      <c r="E49" s="22" t="s">
        <v>83</v>
      </c>
      <c r="F49" s="22"/>
      <c r="H49" s="22"/>
      <c r="I49" s="22"/>
      <c r="K49" s="22"/>
      <c r="L49" s="22"/>
      <c r="M49" s="22"/>
      <c r="N49" s="21"/>
      <c r="O49" s="21"/>
      <c r="P49" s="22"/>
      <c r="Q49" s="21" t="s">
        <v>190</v>
      </c>
      <c r="R49" s="21"/>
      <c r="S49" s="22" t="s">
        <v>191</v>
      </c>
      <c r="T49" s="13">
        <v>25730.1</v>
      </c>
      <c r="U49" s="23">
        <v>43709</v>
      </c>
      <c r="V49" s="23">
        <v>44043</v>
      </c>
      <c r="W49" s="13">
        <v>42454.720000000001</v>
      </c>
    </row>
    <row r="50" spans="1:23" ht="45" x14ac:dyDescent="0.25">
      <c r="A50" s="28" t="s">
        <v>192</v>
      </c>
      <c r="B50" s="21">
        <v>80204250585</v>
      </c>
      <c r="C50" s="22" t="s">
        <v>48</v>
      </c>
      <c r="D50" s="22" t="s">
        <v>193</v>
      </c>
      <c r="E50" s="22" t="s">
        <v>108</v>
      </c>
      <c r="F50" s="22"/>
      <c r="H50" s="22"/>
      <c r="I50" s="22"/>
      <c r="J50" s="22" t="s">
        <v>194</v>
      </c>
      <c r="K50" s="22"/>
      <c r="L50" s="22" t="s">
        <v>195</v>
      </c>
      <c r="M50" s="22"/>
      <c r="O50" s="21"/>
      <c r="P50" s="22"/>
      <c r="Q50" s="21" t="s">
        <v>194</v>
      </c>
      <c r="R50" s="21"/>
      <c r="S50" s="22" t="s">
        <v>196</v>
      </c>
      <c r="T50" s="13">
        <v>36000</v>
      </c>
      <c r="U50" s="23">
        <v>43084</v>
      </c>
      <c r="V50" s="23">
        <v>43813</v>
      </c>
      <c r="W50" s="13">
        <v>36000</v>
      </c>
    </row>
    <row r="51" spans="1:23" ht="60" x14ac:dyDescent="0.25">
      <c r="A51" s="28" t="s">
        <v>197</v>
      </c>
      <c r="B51" s="21">
        <v>80204250585</v>
      </c>
      <c r="C51" s="22" t="s">
        <v>141</v>
      </c>
      <c r="D51" s="22" t="s">
        <v>198</v>
      </c>
      <c r="E51" s="22" t="s">
        <v>108</v>
      </c>
      <c r="K51" s="22"/>
      <c r="Q51" s="21" t="s">
        <v>199</v>
      </c>
      <c r="R51" s="21"/>
      <c r="S51" s="27" t="s">
        <v>200</v>
      </c>
      <c r="T51" s="13">
        <v>18000</v>
      </c>
      <c r="U51" s="23">
        <v>43250</v>
      </c>
      <c r="V51" s="23">
        <v>43982</v>
      </c>
      <c r="W51" s="13">
        <v>18000</v>
      </c>
    </row>
    <row r="52" spans="1:23" ht="60" x14ac:dyDescent="0.25">
      <c r="A52" s="28" t="s">
        <v>201</v>
      </c>
      <c r="B52" s="21">
        <v>80204250585</v>
      </c>
      <c r="C52" s="22" t="s">
        <v>141</v>
      </c>
      <c r="D52" s="22" t="s">
        <v>202</v>
      </c>
      <c r="E52" s="22" t="s">
        <v>108</v>
      </c>
      <c r="K52" s="22"/>
      <c r="Q52" s="21" t="s">
        <v>203</v>
      </c>
      <c r="R52" s="21"/>
      <c r="S52" s="22" t="s">
        <v>204</v>
      </c>
      <c r="T52" s="13">
        <v>38888.85</v>
      </c>
      <c r="U52" s="23">
        <v>43252</v>
      </c>
      <c r="V52" s="23">
        <v>43982</v>
      </c>
      <c r="W52" s="13">
        <v>38297.800000000003</v>
      </c>
    </row>
    <row r="53" spans="1:23" ht="45" x14ac:dyDescent="0.25">
      <c r="A53" s="28" t="s">
        <v>206</v>
      </c>
      <c r="B53" s="21">
        <v>80204250585</v>
      </c>
      <c r="C53" s="22" t="s">
        <v>141</v>
      </c>
      <c r="D53" s="22" t="s">
        <v>207</v>
      </c>
      <c r="E53" s="22" t="s">
        <v>108</v>
      </c>
      <c r="K53" s="22"/>
      <c r="Q53" s="21" t="s">
        <v>208</v>
      </c>
      <c r="R53" s="21"/>
      <c r="S53" s="27" t="s">
        <v>209</v>
      </c>
      <c r="T53" s="13">
        <v>547.95081967213116</v>
      </c>
      <c r="U53" s="23">
        <v>43248</v>
      </c>
      <c r="V53" s="23">
        <v>43465</v>
      </c>
      <c r="W53" s="13">
        <v>0</v>
      </c>
    </row>
    <row r="54" spans="1:23" ht="90" x14ac:dyDescent="0.25">
      <c r="A54" s="28" t="s">
        <v>210</v>
      </c>
      <c r="B54" s="21">
        <v>80204250585</v>
      </c>
      <c r="C54" s="22" t="s">
        <v>141</v>
      </c>
      <c r="D54" s="22" t="s">
        <v>211</v>
      </c>
      <c r="E54" s="22" t="s">
        <v>108</v>
      </c>
      <c r="J54" s="22">
        <v>3533961003</v>
      </c>
      <c r="K54" s="22"/>
      <c r="L54" s="27" t="s">
        <v>147</v>
      </c>
      <c r="Q54" s="21" t="s">
        <v>109</v>
      </c>
      <c r="R54" s="21"/>
      <c r="S54" s="27" t="s">
        <v>147</v>
      </c>
      <c r="T54" s="13">
        <v>9947.67</v>
      </c>
      <c r="U54" s="23">
        <v>43191</v>
      </c>
      <c r="V54" s="23">
        <v>43312</v>
      </c>
      <c r="W54" s="13">
        <v>4271.76</v>
      </c>
    </row>
    <row r="55" spans="1:23" ht="120" x14ac:dyDescent="0.25">
      <c r="A55" s="28" t="s">
        <v>212</v>
      </c>
      <c r="B55" s="21">
        <v>80204250585</v>
      </c>
      <c r="C55" s="22" t="s">
        <v>141</v>
      </c>
      <c r="D55" s="22" t="s">
        <v>213</v>
      </c>
      <c r="E55" s="22" t="s">
        <v>108</v>
      </c>
      <c r="K55" s="22"/>
      <c r="R55" s="21"/>
      <c r="S55" s="27" t="s">
        <v>214</v>
      </c>
      <c r="T55" s="13">
        <v>22500</v>
      </c>
      <c r="U55" s="23">
        <v>43160</v>
      </c>
      <c r="V55" s="23">
        <v>44255</v>
      </c>
      <c r="W55" s="13">
        <v>26160</v>
      </c>
    </row>
    <row r="56" spans="1:23" ht="409.5" x14ac:dyDescent="0.25">
      <c r="A56" s="28">
        <v>7326923023</v>
      </c>
      <c r="B56" s="21">
        <v>80204250585</v>
      </c>
      <c r="C56" s="22" t="s">
        <v>141</v>
      </c>
      <c r="D56" s="22" t="s">
        <v>215</v>
      </c>
      <c r="E56" s="22" t="s">
        <v>83</v>
      </c>
      <c r="F56" s="22" t="s">
        <v>216</v>
      </c>
      <c r="H56" s="22" t="s">
        <v>217</v>
      </c>
      <c r="I56" s="22" t="s">
        <v>218</v>
      </c>
      <c r="J56" s="22" t="s">
        <v>219</v>
      </c>
      <c r="K56" s="22"/>
      <c r="L56" s="22" t="s">
        <v>220</v>
      </c>
      <c r="M56" s="22" t="s">
        <v>221</v>
      </c>
      <c r="O56" s="21" t="s">
        <v>222</v>
      </c>
      <c r="P56" s="22" t="s">
        <v>66</v>
      </c>
      <c r="R56" s="21"/>
      <c r="S56" s="22"/>
      <c r="T56" s="13">
        <f>323775.89+62337</f>
        <v>386112.89</v>
      </c>
      <c r="U56" s="23">
        <v>43432</v>
      </c>
      <c r="V56" s="23">
        <v>43630</v>
      </c>
      <c r="W56" s="13">
        <v>383463.25</v>
      </c>
    </row>
    <row r="57" spans="1:23" ht="90" x14ac:dyDescent="0.25">
      <c r="A57" s="24" t="s">
        <v>223</v>
      </c>
      <c r="B57" s="21">
        <v>80204250585</v>
      </c>
      <c r="C57" s="22" t="s">
        <v>48</v>
      </c>
      <c r="D57" s="27" t="s">
        <v>224</v>
      </c>
      <c r="E57" s="22" t="s">
        <v>50</v>
      </c>
      <c r="I57" s="22"/>
      <c r="J57" s="22" t="s">
        <v>225</v>
      </c>
      <c r="L57" s="27" t="s">
        <v>226</v>
      </c>
      <c r="N57" s="21"/>
      <c r="Q57" s="21" t="s">
        <v>225</v>
      </c>
      <c r="R57" s="25"/>
      <c r="S57" s="27" t="s">
        <v>226</v>
      </c>
      <c r="T57" s="13">
        <v>532789.89</v>
      </c>
      <c r="U57" s="23">
        <v>42795</v>
      </c>
      <c r="V57" s="23">
        <v>43159</v>
      </c>
      <c r="W57" s="13">
        <v>939407.73</v>
      </c>
    </row>
    <row r="58" spans="1:23" ht="45" x14ac:dyDescent="0.25">
      <c r="A58" s="24" t="s">
        <v>1691</v>
      </c>
      <c r="B58" s="21">
        <v>80204250585</v>
      </c>
      <c r="C58" s="27" t="s">
        <v>141</v>
      </c>
      <c r="D58" s="27" t="s">
        <v>227</v>
      </c>
      <c r="E58" s="22" t="s">
        <v>108</v>
      </c>
      <c r="L58" s="27" t="s">
        <v>228</v>
      </c>
      <c r="S58" s="27" t="s">
        <v>228</v>
      </c>
      <c r="T58" s="13">
        <v>16320</v>
      </c>
      <c r="U58" s="23">
        <v>43255</v>
      </c>
      <c r="V58" s="23">
        <v>43985</v>
      </c>
      <c r="W58" s="13">
        <v>16320</v>
      </c>
    </row>
    <row r="59" spans="1:23" ht="105" x14ac:dyDescent="0.25">
      <c r="A59" s="24" t="s">
        <v>229</v>
      </c>
      <c r="B59" s="21">
        <v>80204250585</v>
      </c>
      <c r="C59" s="27" t="s">
        <v>141</v>
      </c>
      <c r="D59" s="27" t="s">
        <v>230</v>
      </c>
      <c r="E59" s="22" t="s">
        <v>108</v>
      </c>
      <c r="J59" s="22" t="s">
        <v>88</v>
      </c>
      <c r="L59" s="27" t="s">
        <v>89</v>
      </c>
      <c r="Q59" s="21" t="s">
        <v>88</v>
      </c>
      <c r="S59" s="27" t="s">
        <v>89</v>
      </c>
      <c r="T59" s="13">
        <v>39912</v>
      </c>
      <c r="U59" s="23">
        <v>43369</v>
      </c>
      <c r="V59" s="23">
        <v>45194</v>
      </c>
      <c r="W59" s="13">
        <v>39912</v>
      </c>
    </row>
    <row r="60" spans="1:23" ht="75" x14ac:dyDescent="0.25">
      <c r="A60" s="24" t="s">
        <v>231</v>
      </c>
      <c r="B60" s="21">
        <v>80204250585</v>
      </c>
      <c r="C60" s="27" t="s">
        <v>141</v>
      </c>
      <c r="D60" s="27" t="s">
        <v>232</v>
      </c>
      <c r="E60" s="22" t="s">
        <v>108</v>
      </c>
      <c r="J60" s="22" t="s">
        <v>88</v>
      </c>
      <c r="L60" s="27" t="s">
        <v>89</v>
      </c>
      <c r="Q60" s="21" t="s">
        <v>88</v>
      </c>
      <c r="S60" s="27" t="s">
        <v>89</v>
      </c>
      <c r="T60" s="13">
        <v>25569</v>
      </c>
      <c r="U60" s="23">
        <v>43369</v>
      </c>
      <c r="V60" s="23">
        <v>45194</v>
      </c>
      <c r="W60" s="13">
        <v>25569</v>
      </c>
    </row>
    <row r="61" spans="1:23" ht="45" x14ac:dyDescent="0.25">
      <c r="A61" s="24" t="s">
        <v>233</v>
      </c>
      <c r="B61" s="21">
        <v>80204250585</v>
      </c>
      <c r="C61" s="27" t="s">
        <v>141</v>
      </c>
      <c r="D61" s="27" t="s">
        <v>234</v>
      </c>
      <c r="E61" s="22" t="s">
        <v>108</v>
      </c>
      <c r="H61" s="22"/>
      <c r="J61" s="22" t="s">
        <v>235</v>
      </c>
      <c r="L61" s="27" t="s">
        <v>236</v>
      </c>
      <c r="Q61" s="21" t="s">
        <v>235</v>
      </c>
      <c r="S61" s="27" t="s">
        <v>237</v>
      </c>
      <c r="T61" s="13">
        <v>2811.32</v>
      </c>
      <c r="U61" s="23">
        <v>43175</v>
      </c>
      <c r="W61" s="13">
        <v>2881.32</v>
      </c>
    </row>
    <row r="62" spans="1:23" ht="90" x14ac:dyDescent="0.25">
      <c r="A62" s="28" t="s">
        <v>93</v>
      </c>
      <c r="B62" s="21">
        <v>80204250585</v>
      </c>
      <c r="C62" s="22" t="s">
        <v>141</v>
      </c>
      <c r="D62" s="22" t="s">
        <v>238</v>
      </c>
      <c r="E62" s="22" t="s">
        <v>108</v>
      </c>
      <c r="F62" s="22"/>
      <c r="H62" s="22"/>
      <c r="I62" s="22"/>
      <c r="J62" s="22" t="s">
        <v>205</v>
      </c>
      <c r="K62" s="22"/>
      <c r="L62" s="22" t="s">
        <v>96</v>
      </c>
      <c r="M62" s="22"/>
      <c r="O62" s="21"/>
      <c r="P62" s="22"/>
      <c r="Q62" s="21" t="s">
        <v>205</v>
      </c>
      <c r="R62" s="21"/>
      <c r="S62" s="22" t="s">
        <v>96</v>
      </c>
      <c r="T62" s="13">
        <v>4041.09</v>
      </c>
      <c r="U62" s="23">
        <v>43342</v>
      </c>
      <c r="V62" s="23">
        <v>43342</v>
      </c>
      <c r="W62" s="13">
        <v>0</v>
      </c>
    </row>
    <row r="63" spans="1:23" ht="105" x14ac:dyDescent="0.25">
      <c r="A63" s="28" t="s">
        <v>93</v>
      </c>
      <c r="B63" s="21">
        <v>80204250585</v>
      </c>
      <c r="C63" s="22" t="s">
        <v>141</v>
      </c>
      <c r="D63" s="22" t="s">
        <v>239</v>
      </c>
      <c r="E63" s="22" t="s">
        <v>108</v>
      </c>
      <c r="F63" s="22"/>
      <c r="H63" s="22"/>
      <c r="I63" s="22"/>
      <c r="J63" s="22" t="s">
        <v>205</v>
      </c>
      <c r="K63" s="22"/>
      <c r="L63" s="22" t="s">
        <v>96</v>
      </c>
      <c r="M63" s="22"/>
      <c r="O63" s="21"/>
      <c r="P63" s="22"/>
      <c r="Q63" s="21" t="s">
        <v>205</v>
      </c>
      <c r="R63" s="21"/>
      <c r="S63" s="22" t="s">
        <v>96</v>
      </c>
      <c r="T63" s="13">
        <v>5262.41</v>
      </c>
      <c r="U63" s="23">
        <v>43342</v>
      </c>
      <c r="V63" s="23">
        <v>43342</v>
      </c>
      <c r="W63" s="13">
        <v>0</v>
      </c>
    </row>
    <row r="64" spans="1:23" ht="120" x14ac:dyDescent="0.25">
      <c r="A64" s="28" t="s">
        <v>93</v>
      </c>
      <c r="B64" s="21">
        <v>80204250585</v>
      </c>
      <c r="C64" s="22" t="s">
        <v>141</v>
      </c>
      <c r="D64" s="22" t="s">
        <v>240</v>
      </c>
      <c r="E64" s="22" t="s">
        <v>108</v>
      </c>
      <c r="F64" s="22"/>
      <c r="H64" s="22"/>
      <c r="I64" s="22"/>
      <c r="J64" s="22" t="s">
        <v>205</v>
      </c>
      <c r="K64" s="22"/>
      <c r="L64" s="22" t="s">
        <v>96</v>
      </c>
      <c r="M64" s="22"/>
      <c r="O64" s="21"/>
      <c r="P64" s="22"/>
      <c r="Q64" s="21" t="s">
        <v>205</v>
      </c>
      <c r="R64" s="21"/>
      <c r="S64" s="22" t="s">
        <v>96</v>
      </c>
      <c r="T64" s="13">
        <v>931.28</v>
      </c>
      <c r="U64" s="23">
        <v>43342</v>
      </c>
      <c r="V64" s="23">
        <v>43342</v>
      </c>
      <c r="W64" s="13">
        <v>0</v>
      </c>
    </row>
    <row r="65" spans="1:23" ht="105" x14ac:dyDescent="0.25">
      <c r="A65" s="28" t="s">
        <v>241</v>
      </c>
      <c r="B65" s="21">
        <v>80204250585</v>
      </c>
      <c r="C65" s="22" t="s">
        <v>141</v>
      </c>
      <c r="D65" s="22" t="s">
        <v>242</v>
      </c>
      <c r="E65" s="22" t="s">
        <v>108</v>
      </c>
      <c r="F65" s="22"/>
      <c r="H65" s="22"/>
      <c r="I65" s="22"/>
      <c r="J65" s="22" t="s">
        <v>243</v>
      </c>
      <c r="K65" s="22"/>
      <c r="L65" s="22" t="s">
        <v>244</v>
      </c>
      <c r="M65" s="22"/>
      <c r="N65" s="21"/>
      <c r="O65" s="21"/>
      <c r="P65" s="22"/>
      <c r="Q65" s="21" t="s">
        <v>243</v>
      </c>
      <c r="R65" s="21"/>
      <c r="S65" s="22" t="s">
        <v>244</v>
      </c>
      <c r="T65" s="13">
        <v>240</v>
      </c>
      <c r="U65" s="23">
        <v>43319</v>
      </c>
      <c r="V65" s="23">
        <v>43322</v>
      </c>
      <c r="W65" s="13">
        <v>240</v>
      </c>
    </row>
    <row r="66" spans="1:23" ht="210" x14ac:dyDescent="0.25">
      <c r="A66" s="28" t="s">
        <v>245</v>
      </c>
      <c r="B66" s="21">
        <v>80204250585</v>
      </c>
      <c r="C66" s="22" t="s">
        <v>141</v>
      </c>
      <c r="D66" s="22" t="s">
        <v>246</v>
      </c>
      <c r="E66" s="22" t="s">
        <v>63</v>
      </c>
      <c r="F66" s="22" t="s">
        <v>247</v>
      </c>
      <c r="H66" s="22" t="s">
        <v>248</v>
      </c>
      <c r="I66" s="27" t="s">
        <v>66</v>
      </c>
      <c r="J66" s="22" t="s">
        <v>249</v>
      </c>
      <c r="K66" s="22"/>
      <c r="L66" s="22" t="s">
        <v>250</v>
      </c>
      <c r="M66" s="22"/>
      <c r="O66" s="21"/>
      <c r="P66" s="22"/>
      <c r="Q66" s="21" t="s">
        <v>251</v>
      </c>
      <c r="R66" s="21"/>
      <c r="S66" s="22" t="s">
        <v>252</v>
      </c>
      <c r="T66" s="13">
        <v>0</v>
      </c>
      <c r="W66" s="13">
        <v>0</v>
      </c>
    </row>
    <row r="67" spans="1:23" ht="210" x14ac:dyDescent="0.25">
      <c r="A67" s="28">
        <v>7553328373</v>
      </c>
      <c r="B67" s="21">
        <v>80204250585</v>
      </c>
      <c r="C67" s="22" t="s">
        <v>141</v>
      </c>
      <c r="D67" s="22" t="s">
        <v>253</v>
      </c>
      <c r="E67" s="22" t="s">
        <v>63</v>
      </c>
      <c r="F67" s="22" t="s">
        <v>247</v>
      </c>
      <c r="H67" s="22" t="s">
        <v>248</v>
      </c>
      <c r="I67" s="27" t="s">
        <v>66</v>
      </c>
      <c r="J67" s="22" t="s">
        <v>249</v>
      </c>
      <c r="K67" s="22"/>
      <c r="L67" s="22" t="s">
        <v>250</v>
      </c>
      <c r="M67" s="22"/>
      <c r="P67" s="22"/>
      <c r="Q67" s="21" t="s">
        <v>251</v>
      </c>
      <c r="R67" s="21"/>
      <c r="S67" s="22" t="s">
        <v>252</v>
      </c>
      <c r="T67" s="13">
        <v>0</v>
      </c>
      <c r="W67" s="13">
        <v>0</v>
      </c>
    </row>
    <row r="68" spans="1:23" ht="210" x14ac:dyDescent="0.25">
      <c r="A68" s="28" t="s">
        <v>254</v>
      </c>
      <c r="B68" s="21">
        <v>80204250585</v>
      </c>
      <c r="C68" s="22" t="s">
        <v>141</v>
      </c>
      <c r="D68" s="22" t="s">
        <v>255</v>
      </c>
      <c r="E68" s="22" t="s">
        <v>50</v>
      </c>
      <c r="F68" s="22"/>
      <c r="H68" s="22"/>
      <c r="K68" s="22"/>
      <c r="L68" s="22"/>
      <c r="M68" s="22"/>
      <c r="O68" s="21"/>
      <c r="P68" s="22"/>
      <c r="Q68" s="21" t="s">
        <v>251</v>
      </c>
      <c r="R68" s="21"/>
      <c r="S68" s="22" t="s">
        <v>252</v>
      </c>
      <c r="T68" s="13">
        <v>5922541.0700000003</v>
      </c>
      <c r="U68" s="23">
        <v>43497</v>
      </c>
      <c r="V68" s="23">
        <v>44742</v>
      </c>
      <c r="W68" s="13">
        <v>4401555.0999999996</v>
      </c>
    </row>
    <row r="69" spans="1:23" ht="75" x14ac:dyDescent="0.25">
      <c r="A69" s="28" t="s">
        <v>256</v>
      </c>
      <c r="B69" s="21">
        <v>80204250585</v>
      </c>
      <c r="C69" s="22" t="s">
        <v>48</v>
      </c>
      <c r="D69" s="22" t="s">
        <v>257</v>
      </c>
      <c r="E69" s="22" t="s">
        <v>108</v>
      </c>
      <c r="F69" s="22"/>
      <c r="H69" s="22"/>
      <c r="I69" s="22"/>
      <c r="J69" s="22" t="s">
        <v>258</v>
      </c>
      <c r="K69" s="22"/>
      <c r="L69" s="22" t="s">
        <v>259</v>
      </c>
      <c r="M69" s="22"/>
      <c r="O69" s="21"/>
      <c r="P69" s="22"/>
      <c r="Q69" s="21" t="s">
        <v>258</v>
      </c>
      <c r="R69" s="21"/>
      <c r="S69" s="22"/>
      <c r="T69" s="13">
        <v>1170</v>
      </c>
      <c r="U69" s="23">
        <v>43374</v>
      </c>
      <c r="V69" s="23">
        <v>43496</v>
      </c>
      <c r="W69" s="13">
        <v>0</v>
      </c>
    </row>
    <row r="70" spans="1:23" ht="75" x14ac:dyDescent="0.25">
      <c r="A70" s="28" t="s">
        <v>260</v>
      </c>
      <c r="B70" s="21">
        <v>80204250585</v>
      </c>
      <c r="C70" s="22" t="s">
        <v>48</v>
      </c>
      <c r="D70" s="22" t="s">
        <v>257</v>
      </c>
      <c r="E70" s="22" t="s">
        <v>108</v>
      </c>
      <c r="F70" s="22"/>
      <c r="H70" s="22"/>
      <c r="I70" s="22"/>
      <c r="J70" s="22" t="s">
        <v>261</v>
      </c>
      <c r="K70" s="22"/>
      <c r="L70" s="22" t="s">
        <v>262</v>
      </c>
      <c r="M70" s="22"/>
      <c r="O70" s="21"/>
      <c r="P70" s="22"/>
      <c r="Q70" s="21" t="s">
        <v>261</v>
      </c>
      <c r="R70" s="21"/>
      <c r="S70" s="22"/>
      <c r="T70" s="13">
        <v>6340</v>
      </c>
      <c r="U70" s="23">
        <v>43374</v>
      </c>
      <c r="V70" s="23">
        <v>43496</v>
      </c>
      <c r="W70" s="13">
        <v>0</v>
      </c>
    </row>
    <row r="71" spans="1:23" ht="75" x14ac:dyDescent="0.25">
      <c r="A71" s="28" t="s">
        <v>263</v>
      </c>
      <c r="B71" s="21">
        <v>80204250585</v>
      </c>
      <c r="C71" s="22" t="s">
        <v>48</v>
      </c>
      <c r="D71" s="22" t="s">
        <v>257</v>
      </c>
      <c r="E71" s="22" t="s">
        <v>108</v>
      </c>
      <c r="F71" s="22"/>
      <c r="H71" s="22"/>
      <c r="I71" s="22"/>
      <c r="J71" s="22" t="s">
        <v>264</v>
      </c>
      <c r="K71" s="22"/>
      <c r="L71" s="22" t="s">
        <v>265</v>
      </c>
      <c r="M71" s="22"/>
      <c r="O71" s="21"/>
      <c r="P71" s="22"/>
      <c r="Q71" s="21" t="s">
        <v>264</v>
      </c>
      <c r="R71" s="21"/>
      <c r="S71" s="22"/>
      <c r="T71" s="13">
        <v>2500</v>
      </c>
      <c r="U71" s="23">
        <v>43374</v>
      </c>
      <c r="V71" s="23">
        <v>43496</v>
      </c>
      <c r="W71" s="13">
        <v>0</v>
      </c>
    </row>
    <row r="72" spans="1:23" ht="75" x14ac:dyDescent="0.25">
      <c r="A72" s="28" t="s">
        <v>266</v>
      </c>
      <c r="B72" s="21">
        <v>80204250585</v>
      </c>
      <c r="C72" s="22" t="s">
        <v>48</v>
      </c>
      <c r="D72" s="22" t="s">
        <v>257</v>
      </c>
      <c r="E72" s="22" t="s">
        <v>108</v>
      </c>
      <c r="F72" s="22"/>
      <c r="H72" s="22"/>
      <c r="I72" s="22"/>
      <c r="J72" s="22" t="s">
        <v>267</v>
      </c>
      <c r="K72" s="22"/>
      <c r="L72" s="22" t="s">
        <v>268</v>
      </c>
      <c r="M72" s="22"/>
      <c r="O72" s="21"/>
      <c r="P72" s="22"/>
      <c r="Q72" s="21" t="s">
        <v>267</v>
      </c>
      <c r="R72" s="21"/>
      <c r="S72" s="22"/>
      <c r="T72" s="13">
        <v>4170</v>
      </c>
      <c r="U72" s="23">
        <v>43374</v>
      </c>
      <c r="V72" s="23">
        <v>43496</v>
      </c>
      <c r="W72" s="13">
        <v>0</v>
      </c>
    </row>
    <row r="73" spans="1:23" ht="75" x14ac:dyDescent="0.25">
      <c r="A73" s="28" t="s">
        <v>269</v>
      </c>
      <c r="B73" s="21">
        <v>80204250585</v>
      </c>
      <c r="C73" s="22" t="s">
        <v>48</v>
      </c>
      <c r="D73" s="22" t="s">
        <v>257</v>
      </c>
      <c r="E73" s="22" t="s">
        <v>108</v>
      </c>
      <c r="F73" s="22"/>
      <c r="H73" s="22"/>
      <c r="I73" s="22"/>
      <c r="J73" s="22" t="s">
        <v>270</v>
      </c>
      <c r="K73" s="22"/>
      <c r="L73" s="22" t="s">
        <v>271</v>
      </c>
      <c r="M73" s="22"/>
      <c r="O73" s="21"/>
      <c r="P73" s="22"/>
      <c r="Q73" s="21" t="s">
        <v>270</v>
      </c>
      <c r="R73" s="21"/>
      <c r="S73" s="22"/>
      <c r="T73" s="13">
        <v>1170</v>
      </c>
      <c r="U73" s="23">
        <v>43374</v>
      </c>
      <c r="V73" s="23">
        <v>43496</v>
      </c>
      <c r="W73" s="13">
        <v>0</v>
      </c>
    </row>
    <row r="74" spans="1:23" ht="75" x14ac:dyDescent="0.25">
      <c r="A74" s="28" t="s">
        <v>272</v>
      </c>
      <c r="B74" s="21">
        <v>80204250585</v>
      </c>
      <c r="C74" s="22" t="s">
        <v>48</v>
      </c>
      <c r="D74" s="22" t="s">
        <v>273</v>
      </c>
      <c r="E74" s="22" t="s">
        <v>108</v>
      </c>
      <c r="F74" s="22"/>
      <c r="H74" s="22"/>
      <c r="I74" s="22"/>
      <c r="J74" s="22" t="s">
        <v>274</v>
      </c>
      <c r="K74" s="22"/>
      <c r="L74" s="22" t="s">
        <v>275</v>
      </c>
      <c r="M74" s="22"/>
      <c r="O74" s="21"/>
      <c r="P74" s="22"/>
      <c r="Q74" s="21" t="s">
        <v>274</v>
      </c>
      <c r="R74" s="21"/>
      <c r="S74" s="22"/>
      <c r="T74" s="13">
        <v>4170</v>
      </c>
      <c r="U74" s="23">
        <v>43374</v>
      </c>
      <c r="V74" s="23">
        <v>43496</v>
      </c>
      <c r="W74" s="13">
        <v>0</v>
      </c>
    </row>
    <row r="75" spans="1:23" ht="75" x14ac:dyDescent="0.25">
      <c r="A75" s="28" t="s">
        <v>276</v>
      </c>
      <c r="B75" s="21">
        <v>80204250585</v>
      </c>
      <c r="C75" s="22" t="s">
        <v>48</v>
      </c>
      <c r="D75" s="22" t="s">
        <v>277</v>
      </c>
      <c r="E75" s="22" t="s">
        <v>108</v>
      </c>
      <c r="F75" s="22"/>
      <c r="H75" s="22"/>
      <c r="I75" s="22"/>
      <c r="J75" s="22" t="s">
        <v>278</v>
      </c>
      <c r="K75" s="22"/>
      <c r="L75" s="22" t="s">
        <v>279</v>
      </c>
      <c r="M75" s="22"/>
      <c r="O75" s="21"/>
      <c r="P75" s="22"/>
      <c r="Q75" s="21" t="s">
        <v>278</v>
      </c>
      <c r="R75" s="21"/>
      <c r="S75" s="22"/>
      <c r="T75" s="13">
        <v>1170</v>
      </c>
      <c r="U75" s="23">
        <v>43374</v>
      </c>
      <c r="V75" s="23">
        <v>43496</v>
      </c>
      <c r="W75" s="13">
        <v>0</v>
      </c>
    </row>
    <row r="76" spans="1:23" ht="75" x14ac:dyDescent="0.25">
      <c r="A76" s="28" t="s">
        <v>280</v>
      </c>
      <c r="B76" s="21">
        <v>80204250585</v>
      </c>
      <c r="C76" s="22" t="s">
        <v>48</v>
      </c>
      <c r="D76" s="22" t="s">
        <v>257</v>
      </c>
      <c r="E76" s="22" t="s">
        <v>108</v>
      </c>
      <c r="F76" s="22"/>
      <c r="H76" s="22"/>
      <c r="I76" s="22"/>
      <c r="J76" s="22" t="s">
        <v>281</v>
      </c>
      <c r="K76" s="22"/>
      <c r="L76" s="22" t="s">
        <v>282</v>
      </c>
      <c r="M76" s="22"/>
      <c r="O76" s="21"/>
      <c r="P76" s="22"/>
      <c r="Q76" s="21" t="s">
        <v>281</v>
      </c>
      <c r="R76" s="21"/>
      <c r="S76" s="22"/>
      <c r="T76" s="13">
        <v>1170</v>
      </c>
      <c r="U76" s="23">
        <v>43374</v>
      </c>
      <c r="V76" s="23">
        <v>43496</v>
      </c>
      <c r="W76" s="13">
        <v>0</v>
      </c>
    </row>
    <row r="77" spans="1:23" ht="75" x14ac:dyDescent="0.25">
      <c r="A77" s="28" t="s">
        <v>283</v>
      </c>
      <c r="B77" s="21">
        <v>80204250585</v>
      </c>
      <c r="C77" s="22" t="s">
        <v>48</v>
      </c>
      <c r="D77" s="22" t="s">
        <v>277</v>
      </c>
      <c r="E77" s="22" t="s">
        <v>108</v>
      </c>
      <c r="F77" s="22"/>
      <c r="H77" s="22"/>
      <c r="I77" s="22"/>
      <c r="J77" s="22" t="s">
        <v>284</v>
      </c>
      <c r="K77" s="22"/>
      <c r="L77" s="22" t="s">
        <v>285</v>
      </c>
      <c r="M77" s="22"/>
      <c r="O77" s="21"/>
      <c r="P77" s="22"/>
      <c r="Q77" s="21" t="s">
        <v>284</v>
      </c>
      <c r="R77" s="21"/>
      <c r="S77" s="22"/>
      <c r="T77" s="13">
        <v>5000</v>
      </c>
      <c r="U77" s="23">
        <v>43374</v>
      </c>
      <c r="V77" s="23">
        <v>43496</v>
      </c>
      <c r="W77" s="13">
        <v>0</v>
      </c>
    </row>
    <row r="78" spans="1:23" ht="75" x14ac:dyDescent="0.25">
      <c r="A78" s="28" t="s">
        <v>286</v>
      </c>
      <c r="B78" s="21">
        <v>80204250585</v>
      </c>
      <c r="C78" s="22" t="s">
        <v>48</v>
      </c>
      <c r="D78" s="22" t="s">
        <v>257</v>
      </c>
      <c r="E78" s="22" t="s">
        <v>108</v>
      </c>
      <c r="F78" s="22"/>
      <c r="H78" s="22"/>
      <c r="I78" s="22"/>
      <c r="J78" s="22" t="s">
        <v>287</v>
      </c>
      <c r="K78" s="22"/>
      <c r="L78" s="22" t="s">
        <v>288</v>
      </c>
      <c r="M78" s="22"/>
      <c r="O78" s="21"/>
      <c r="P78" s="22"/>
      <c r="Q78" s="21" t="s">
        <v>287</v>
      </c>
      <c r="R78" s="21"/>
      <c r="S78" s="22"/>
      <c r="T78" s="13">
        <v>5000</v>
      </c>
      <c r="U78" s="23">
        <v>43374</v>
      </c>
      <c r="V78" s="23">
        <v>43496</v>
      </c>
      <c r="W78" s="13">
        <v>0</v>
      </c>
    </row>
    <row r="79" spans="1:23" ht="105" x14ac:dyDescent="0.25">
      <c r="A79" s="28" t="s">
        <v>289</v>
      </c>
      <c r="B79" s="21">
        <v>80204250585</v>
      </c>
      <c r="C79" s="22" t="s">
        <v>141</v>
      </c>
      <c r="D79" s="22" t="s">
        <v>290</v>
      </c>
      <c r="E79" s="22" t="s">
        <v>108</v>
      </c>
      <c r="F79" s="22"/>
      <c r="H79" s="22"/>
      <c r="I79" s="22"/>
      <c r="J79" s="22" t="s">
        <v>205</v>
      </c>
      <c r="K79" s="22"/>
      <c r="L79" s="22" t="s">
        <v>96</v>
      </c>
      <c r="M79" s="22"/>
      <c r="O79" s="21"/>
      <c r="P79" s="22"/>
      <c r="Q79" s="21" t="s">
        <v>205</v>
      </c>
      <c r="R79" s="21"/>
      <c r="S79" s="22" t="s">
        <v>96</v>
      </c>
      <c r="T79" s="13">
        <v>4114.53</v>
      </c>
      <c r="U79" s="23">
        <v>43395</v>
      </c>
      <c r="V79" s="23">
        <v>43496</v>
      </c>
      <c r="W79" s="13">
        <v>0</v>
      </c>
    </row>
    <row r="80" spans="1:23" ht="120" x14ac:dyDescent="0.25">
      <c r="A80" s="28" t="s">
        <v>291</v>
      </c>
      <c r="B80" s="21">
        <v>80204250585</v>
      </c>
      <c r="C80" s="22" t="s">
        <v>141</v>
      </c>
      <c r="D80" s="22" t="s">
        <v>292</v>
      </c>
      <c r="E80" s="22" t="s">
        <v>108</v>
      </c>
      <c r="F80" s="22"/>
      <c r="H80" s="22"/>
      <c r="I80" s="22"/>
      <c r="J80" s="22" t="s">
        <v>136</v>
      </c>
      <c r="K80" s="22"/>
      <c r="L80" s="22" t="s">
        <v>293</v>
      </c>
      <c r="M80" s="22"/>
      <c r="O80" s="21"/>
      <c r="P80" s="22"/>
      <c r="Q80" s="21" t="s">
        <v>136</v>
      </c>
      <c r="R80" s="21"/>
      <c r="S80" s="22" t="s">
        <v>293</v>
      </c>
      <c r="T80" s="13">
        <v>3720</v>
      </c>
      <c r="U80" s="23">
        <v>43416</v>
      </c>
      <c r="V80" s="23">
        <v>43441</v>
      </c>
      <c r="W80" s="13">
        <v>0</v>
      </c>
    </row>
    <row r="81" spans="1:23" ht="150" x14ac:dyDescent="0.25">
      <c r="A81" s="28" t="s">
        <v>294</v>
      </c>
      <c r="B81" s="21">
        <v>80204250585</v>
      </c>
      <c r="C81" s="22" t="s">
        <v>141</v>
      </c>
      <c r="D81" s="22" t="s">
        <v>295</v>
      </c>
      <c r="E81" s="22" t="s">
        <v>54</v>
      </c>
      <c r="F81" s="22"/>
      <c r="H81" s="22"/>
      <c r="I81" s="22"/>
      <c r="K81" s="22"/>
      <c r="L81" s="22"/>
      <c r="M81" s="22"/>
      <c r="O81" s="21"/>
      <c r="P81" s="22"/>
      <c r="Q81" s="21">
        <v>12066470159</v>
      </c>
      <c r="R81" s="21"/>
      <c r="S81" s="22" t="s">
        <v>296</v>
      </c>
      <c r="T81" s="13">
        <v>1679561.47</v>
      </c>
      <c r="U81" s="23">
        <v>43405</v>
      </c>
      <c r="V81" s="23">
        <v>44439</v>
      </c>
      <c r="W81" s="13">
        <v>1616564.27</v>
      </c>
    </row>
    <row r="82" spans="1:23" ht="105" x14ac:dyDescent="0.25">
      <c r="A82" s="28" t="s">
        <v>297</v>
      </c>
      <c r="B82" s="21">
        <v>80204250585</v>
      </c>
      <c r="C82" s="22" t="s">
        <v>141</v>
      </c>
      <c r="D82" s="22" t="s">
        <v>298</v>
      </c>
      <c r="E82" s="22" t="s">
        <v>108</v>
      </c>
      <c r="F82" s="22"/>
      <c r="H82" s="22"/>
      <c r="I82" s="22"/>
      <c r="J82" s="22" t="s">
        <v>205</v>
      </c>
      <c r="K82" s="22"/>
      <c r="L82" s="22" t="s">
        <v>96</v>
      </c>
      <c r="M82" s="22"/>
      <c r="O82" s="21"/>
      <c r="P82" s="22"/>
      <c r="Q82" s="21" t="s">
        <v>205</v>
      </c>
      <c r="R82" s="21"/>
      <c r="S82" s="22" t="s">
        <v>96</v>
      </c>
      <c r="T82" s="13">
        <v>3550.79</v>
      </c>
      <c r="U82" s="23">
        <v>43441</v>
      </c>
      <c r="V82" s="23">
        <v>43496</v>
      </c>
      <c r="W82" s="13">
        <v>0</v>
      </c>
    </row>
    <row r="83" spans="1:23" ht="60" x14ac:dyDescent="0.25">
      <c r="A83" s="28" t="s">
        <v>299</v>
      </c>
      <c r="B83" s="21">
        <v>80204250585</v>
      </c>
      <c r="C83" s="22" t="s">
        <v>141</v>
      </c>
      <c r="D83" s="22" t="s">
        <v>300</v>
      </c>
      <c r="E83" s="22" t="s">
        <v>54</v>
      </c>
      <c r="F83" s="22"/>
      <c r="H83" s="22"/>
      <c r="I83" s="22"/>
      <c r="K83" s="22"/>
      <c r="L83" s="22"/>
      <c r="M83" s="22"/>
      <c r="O83" s="21"/>
      <c r="P83" s="22"/>
      <c r="R83" s="21"/>
      <c r="S83" s="22" t="s">
        <v>301</v>
      </c>
      <c r="T83" s="13">
        <v>11833.33</v>
      </c>
      <c r="U83" s="23">
        <v>43466</v>
      </c>
      <c r="V83" s="23">
        <v>43830</v>
      </c>
      <c r="W83" s="13">
        <v>13714.29</v>
      </c>
    </row>
    <row r="84" spans="1:23" ht="60" x14ac:dyDescent="0.25">
      <c r="A84" s="28" t="s">
        <v>302</v>
      </c>
      <c r="B84" s="21">
        <v>80204250585</v>
      </c>
      <c r="C84" s="22" t="s">
        <v>141</v>
      </c>
      <c r="D84" s="22" t="s">
        <v>303</v>
      </c>
      <c r="E84" s="22" t="s">
        <v>54</v>
      </c>
      <c r="F84" s="22"/>
      <c r="H84" s="22"/>
      <c r="I84" s="22"/>
      <c r="K84" s="22"/>
      <c r="L84" s="22"/>
      <c r="M84" s="22"/>
      <c r="O84" s="21"/>
      <c r="P84" s="22"/>
      <c r="R84" s="21"/>
      <c r="S84" s="22" t="s">
        <v>304</v>
      </c>
      <c r="T84" s="13">
        <v>40000</v>
      </c>
      <c r="U84" s="23">
        <v>43466</v>
      </c>
      <c r="V84" s="23">
        <v>43830</v>
      </c>
      <c r="W84" s="13">
        <v>40310.31</v>
      </c>
    </row>
    <row r="85" spans="1:23" ht="75" x14ac:dyDescent="0.25">
      <c r="A85" s="28" t="s">
        <v>305</v>
      </c>
      <c r="B85" s="21">
        <v>80204250585</v>
      </c>
      <c r="C85" s="22" t="s">
        <v>141</v>
      </c>
      <c r="D85" s="22" t="s">
        <v>1692</v>
      </c>
      <c r="E85" s="22" t="s">
        <v>54</v>
      </c>
      <c r="F85" s="22"/>
      <c r="H85" s="22"/>
      <c r="I85" s="22"/>
      <c r="K85" s="22"/>
      <c r="L85" s="22"/>
      <c r="M85" s="22"/>
      <c r="O85" s="21"/>
      <c r="P85" s="22"/>
      <c r="Q85" s="21">
        <v>10295850969</v>
      </c>
      <c r="R85" s="21"/>
      <c r="S85" s="22" t="s">
        <v>306</v>
      </c>
      <c r="T85" s="13">
        <v>16020</v>
      </c>
      <c r="U85" s="23">
        <v>43466</v>
      </c>
      <c r="V85" s="23">
        <v>43830</v>
      </c>
      <c r="W85" s="13">
        <v>16020</v>
      </c>
    </row>
    <row r="86" spans="1:23" ht="75" x14ac:dyDescent="0.25">
      <c r="A86" s="28" t="s">
        <v>307</v>
      </c>
      <c r="B86" s="21">
        <v>80204250585</v>
      </c>
      <c r="C86" s="22" t="s">
        <v>141</v>
      </c>
      <c r="D86" s="22" t="s">
        <v>308</v>
      </c>
      <c r="E86" s="22" t="s">
        <v>54</v>
      </c>
      <c r="F86" s="22"/>
      <c r="H86" s="22"/>
      <c r="I86" s="22"/>
      <c r="K86" s="22"/>
      <c r="L86" s="22"/>
      <c r="M86" s="22"/>
      <c r="O86" s="21"/>
      <c r="P86" s="22"/>
      <c r="Q86" s="21" t="s">
        <v>309</v>
      </c>
      <c r="R86" s="21"/>
      <c r="S86" s="27" t="s">
        <v>310</v>
      </c>
      <c r="T86" s="13">
        <v>15298.3</v>
      </c>
      <c r="U86" s="23">
        <v>43466</v>
      </c>
      <c r="V86" s="23">
        <v>43830</v>
      </c>
      <c r="W86" s="13">
        <v>7610.91</v>
      </c>
    </row>
    <row r="87" spans="1:23" ht="409.5" x14ac:dyDescent="0.25">
      <c r="A87" s="28" t="s">
        <v>311</v>
      </c>
      <c r="B87" s="21">
        <v>80204250585</v>
      </c>
      <c r="C87" s="22" t="s">
        <v>141</v>
      </c>
      <c r="D87" s="22" t="s">
        <v>312</v>
      </c>
      <c r="E87" s="22" t="s">
        <v>83</v>
      </c>
      <c r="F87" s="22"/>
      <c r="H87" s="22"/>
      <c r="I87" s="22"/>
      <c r="J87" s="22" t="s">
        <v>313</v>
      </c>
      <c r="K87" s="22"/>
      <c r="L87" s="27" t="s">
        <v>314</v>
      </c>
      <c r="M87" s="22"/>
      <c r="O87" s="21"/>
      <c r="P87" s="22"/>
      <c r="Q87" s="21" t="s">
        <v>315</v>
      </c>
      <c r="R87" s="21"/>
      <c r="S87" s="22" t="s">
        <v>316</v>
      </c>
      <c r="T87" s="13">
        <v>476666.68</v>
      </c>
      <c r="U87" s="23">
        <v>43523</v>
      </c>
      <c r="V87" s="23">
        <v>44983</v>
      </c>
      <c r="W87" s="13">
        <v>0</v>
      </c>
    </row>
    <row r="88" spans="1:23" ht="409.5" x14ac:dyDescent="0.25">
      <c r="A88" s="28">
        <v>7629971341</v>
      </c>
      <c r="B88" s="21">
        <v>80204250585</v>
      </c>
      <c r="C88" s="22" t="s">
        <v>141</v>
      </c>
      <c r="D88" s="22" t="s">
        <v>317</v>
      </c>
      <c r="E88" s="22" t="s">
        <v>50</v>
      </c>
      <c r="F88" s="22"/>
      <c r="H88" s="22"/>
      <c r="I88" s="22"/>
      <c r="J88" s="22" t="s">
        <v>313</v>
      </c>
      <c r="K88" s="22"/>
      <c r="L88" s="27" t="s">
        <v>314</v>
      </c>
      <c r="M88" s="22"/>
      <c r="O88" s="21"/>
      <c r="P88" s="22"/>
      <c r="Q88" s="21" t="s">
        <v>315</v>
      </c>
      <c r="R88" s="21"/>
      <c r="S88" s="22" t="s">
        <v>316</v>
      </c>
      <c r="T88" s="13">
        <v>476666.68</v>
      </c>
      <c r="W88" s="13">
        <v>0</v>
      </c>
    </row>
    <row r="89" spans="1:23" ht="180" x14ac:dyDescent="0.25">
      <c r="A89" s="28" t="s">
        <v>318</v>
      </c>
      <c r="B89" s="21">
        <v>80204250585</v>
      </c>
      <c r="C89" s="22" t="s">
        <v>141</v>
      </c>
      <c r="D89" s="22" t="s">
        <v>319</v>
      </c>
      <c r="E89" s="22" t="s">
        <v>83</v>
      </c>
      <c r="F89" s="22"/>
      <c r="H89" s="22"/>
      <c r="I89" s="22"/>
      <c r="J89" s="22" t="s">
        <v>320</v>
      </c>
      <c r="K89" s="22"/>
      <c r="L89" s="22" t="s">
        <v>321</v>
      </c>
      <c r="M89" s="22"/>
      <c r="O89" s="21"/>
      <c r="P89" s="22"/>
      <c r="Q89" s="21" t="s">
        <v>322</v>
      </c>
      <c r="R89" s="21"/>
      <c r="S89" s="22" t="s">
        <v>323</v>
      </c>
      <c r="T89" s="13">
        <v>200000</v>
      </c>
      <c r="U89" s="23">
        <v>43466</v>
      </c>
      <c r="V89" s="23">
        <v>44196</v>
      </c>
      <c r="W89" s="13">
        <v>0</v>
      </c>
    </row>
    <row r="90" spans="1:23" ht="105" x14ac:dyDescent="0.25">
      <c r="A90" s="29" t="s">
        <v>324</v>
      </c>
      <c r="B90" s="21">
        <v>80204250585</v>
      </c>
      <c r="C90" s="22" t="s">
        <v>141</v>
      </c>
      <c r="D90" s="22" t="s">
        <v>325</v>
      </c>
      <c r="E90" s="22" t="s">
        <v>83</v>
      </c>
      <c r="F90" s="22"/>
      <c r="H90" s="22"/>
      <c r="I90" s="22"/>
      <c r="J90" s="22" t="s">
        <v>326</v>
      </c>
      <c r="K90" s="22"/>
      <c r="L90" s="22" t="s">
        <v>327</v>
      </c>
      <c r="M90" s="22"/>
      <c r="O90" s="21"/>
      <c r="P90" s="22"/>
      <c r="Q90" s="21" t="s">
        <v>51</v>
      </c>
      <c r="R90" s="21"/>
      <c r="S90" s="27" t="s">
        <v>52</v>
      </c>
      <c r="T90" s="13">
        <v>66743.210000000006</v>
      </c>
      <c r="U90" s="23">
        <v>43507</v>
      </c>
      <c r="V90" s="23">
        <v>44967</v>
      </c>
      <c r="W90" s="13">
        <v>27961.96</v>
      </c>
    </row>
    <row r="91" spans="1:23" ht="60" x14ac:dyDescent="0.25">
      <c r="A91" s="29" t="s">
        <v>328</v>
      </c>
      <c r="B91" s="21">
        <v>80204250585</v>
      </c>
      <c r="C91" s="22" t="s">
        <v>141</v>
      </c>
      <c r="D91" s="22" t="s">
        <v>329</v>
      </c>
      <c r="E91" s="22" t="s">
        <v>83</v>
      </c>
      <c r="F91" s="22"/>
      <c r="H91" s="22"/>
      <c r="I91" s="22"/>
      <c r="J91" s="22" t="s">
        <v>330</v>
      </c>
      <c r="K91" s="22"/>
      <c r="L91" s="22" t="s">
        <v>331</v>
      </c>
      <c r="M91" s="22"/>
      <c r="O91" s="21"/>
      <c r="P91" s="22"/>
      <c r="Q91" s="21" t="s">
        <v>330</v>
      </c>
      <c r="R91" s="21"/>
      <c r="S91" s="22" t="s">
        <v>331</v>
      </c>
      <c r="T91" s="13">
        <v>190000</v>
      </c>
      <c r="U91" s="23">
        <v>43617</v>
      </c>
      <c r="V91" s="23">
        <v>44711</v>
      </c>
      <c r="W91" s="13">
        <v>13591.33</v>
      </c>
    </row>
    <row r="92" spans="1:23" ht="90" x14ac:dyDescent="0.25">
      <c r="A92" s="29" t="s">
        <v>332</v>
      </c>
      <c r="B92" s="21">
        <v>80204250585</v>
      </c>
      <c r="C92" s="22" t="s">
        <v>141</v>
      </c>
      <c r="D92" s="22" t="s">
        <v>333</v>
      </c>
      <c r="E92" s="22" t="s">
        <v>83</v>
      </c>
      <c r="F92" s="22"/>
      <c r="H92" s="22"/>
      <c r="I92" s="22"/>
      <c r="J92" s="22" t="s">
        <v>334</v>
      </c>
      <c r="K92" s="22"/>
      <c r="L92" s="22" t="s">
        <v>335</v>
      </c>
      <c r="M92" s="22"/>
      <c r="O92" s="21"/>
      <c r="P92" s="22"/>
      <c r="Q92" s="21" t="s">
        <v>336</v>
      </c>
      <c r="R92" s="21"/>
      <c r="S92" s="22" t="s">
        <v>337</v>
      </c>
      <c r="T92" s="13">
        <v>136788</v>
      </c>
      <c r="U92" s="23">
        <v>43525</v>
      </c>
      <c r="V92" s="23">
        <v>44681</v>
      </c>
      <c r="W92" s="13">
        <v>45095.51</v>
      </c>
    </row>
    <row r="93" spans="1:23" ht="90" x14ac:dyDescent="0.25">
      <c r="A93" s="28" t="s">
        <v>338</v>
      </c>
      <c r="B93" s="21">
        <v>80204250585</v>
      </c>
      <c r="C93" s="22" t="s">
        <v>141</v>
      </c>
      <c r="D93" s="22" t="s">
        <v>339</v>
      </c>
      <c r="E93" s="22" t="s">
        <v>83</v>
      </c>
      <c r="F93" s="22"/>
      <c r="H93" s="22"/>
      <c r="I93" s="22"/>
      <c r="J93" s="22" t="s">
        <v>340</v>
      </c>
      <c r="K93" s="22"/>
      <c r="L93" s="22" t="s">
        <v>341</v>
      </c>
      <c r="M93" s="22"/>
      <c r="O93" s="21"/>
      <c r="P93" s="22"/>
      <c r="Q93" s="21" t="s">
        <v>336</v>
      </c>
      <c r="R93" s="21"/>
      <c r="S93" s="22" t="s">
        <v>337</v>
      </c>
      <c r="T93" s="13">
        <v>73140</v>
      </c>
      <c r="U93" s="23">
        <v>43525</v>
      </c>
      <c r="V93" s="23">
        <v>44681</v>
      </c>
      <c r="W93" s="13">
        <v>21454.69</v>
      </c>
    </row>
    <row r="94" spans="1:23" ht="45" x14ac:dyDescent="0.25">
      <c r="A94" s="28" t="s">
        <v>342</v>
      </c>
      <c r="B94" s="21">
        <v>80204250585</v>
      </c>
      <c r="C94" s="22" t="s">
        <v>141</v>
      </c>
      <c r="D94" s="22" t="s">
        <v>343</v>
      </c>
      <c r="E94" s="22" t="s">
        <v>108</v>
      </c>
      <c r="F94" s="22"/>
      <c r="H94" s="22"/>
      <c r="I94" s="22"/>
      <c r="J94" s="22">
        <v>3675290286</v>
      </c>
      <c r="K94" s="22"/>
      <c r="L94" s="22" t="s">
        <v>344</v>
      </c>
      <c r="M94" s="22"/>
      <c r="O94" s="21"/>
      <c r="P94" s="22"/>
      <c r="Q94" s="21" t="s">
        <v>345</v>
      </c>
      <c r="R94" s="21"/>
      <c r="S94" s="22" t="s">
        <v>344</v>
      </c>
      <c r="T94" s="13">
        <v>2024.46</v>
      </c>
      <c r="U94" s="23">
        <v>43393</v>
      </c>
      <c r="V94" s="23">
        <v>43396</v>
      </c>
      <c r="W94" s="13">
        <v>1012.22</v>
      </c>
    </row>
    <row r="95" spans="1:23" ht="75" x14ac:dyDescent="0.25">
      <c r="A95" s="28" t="s">
        <v>346</v>
      </c>
      <c r="B95" s="21">
        <v>80204250585</v>
      </c>
      <c r="C95" s="22" t="s">
        <v>141</v>
      </c>
      <c r="D95" s="22" t="s">
        <v>347</v>
      </c>
      <c r="E95" s="22" t="s">
        <v>54</v>
      </c>
      <c r="F95" s="22"/>
      <c r="G95" s="22"/>
      <c r="H95" s="22"/>
      <c r="I95" s="22"/>
      <c r="J95" s="22" t="s">
        <v>203</v>
      </c>
      <c r="K95" s="22"/>
      <c r="L95" s="22" t="s">
        <v>204</v>
      </c>
      <c r="M95" s="22"/>
      <c r="N95" s="21"/>
      <c r="O95" s="21"/>
      <c r="P95" s="22"/>
      <c r="Q95" s="21" t="s">
        <v>203</v>
      </c>
      <c r="R95" s="21"/>
      <c r="S95" s="22" t="s">
        <v>204</v>
      </c>
      <c r="T95" s="13">
        <v>225210.11</v>
      </c>
      <c r="U95" s="23">
        <v>43466</v>
      </c>
      <c r="V95" s="23">
        <v>43830</v>
      </c>
      <c r="W95" s="13">
        <v>225210.11</v>
      </c>
    </row>
    <row r="96" spans="1:23" ht="210" x14ac:dyDescent="0.25">
      <c r="A96" s="28" t="s">
        <v>348</v>
      </c>
      <c r="B96" s="21">
        <v>80204250585</v>
      </c>
      <c r="C96" s="22" t="s">
        <v>141</v>
      </c>
      <c r="D96" s="22" t="s">
        <v>349</v>
      </c>
      <c r="E96" s="22" t="s">
        <v>83</v>
      </c>
      <c r="F96" s="22"/>
      <c r="H96" s="22"/>
      <c r="I96" s="22"/>
      <c r="K96" s="22"/>
      <c r="L96" s="22"/>
      <c r="M96" s="22"/>
      <c r="O96" s="21"/>
      <c r="P96" s="22"/>
      <c r="Q96" s="21" t="s">
        <v>315</v>
      </c>
      <c r="R96" s="21"/>
      <c r="S96" s="22" t="s">
        <v>316</v>
      </c>
      <c r="T96" s="13">
        <v>476666.68</v>
      </c>
      <c r="U96" s="23">
        <v>43523</v>
      </c>
      <c r="V96" s="23">
        <v>44738</v>
      </c>
      <c r="W96" s="13">
        <v>704943.54</v>
      </c>
    </row>
    <row r="97" spans="1:23" ht="75" x14ac:dyDescent="0.25">
      <c r="A97" s="28" t="s">
        <v>350</v>
      </c>
      <c r="B97" s="21">
        <v>80204250585</v>
      </c>
      <c r="C97" s="22" t="s">
        <v>141</v>
      </c>
      <c r="D97" s="22" t="s">
        <v>351</v>
      </c>
      <c r="E97" s="22" t="s">
        <v>108</v>
      </c>
      <c r="F97" s="22"/>
      <c r="H97" s="22"/>
      <c r="I97" s="22"/>
      <c r="K97" s="22"/>
      <c r="L97" s="22"/>
      <c r="M97" s="22"/>
      <c r="O97" s="21"/>
      <c r="P97" s="22"/>
      <c r="Q97" s="21" t="s">
        <v>352</v>
      </c>
      <c r="R97" s="21"/>
      <c r="S97" s="22" t="s">
        <v>353</v>
      </c>
      <c r="T97" s="13">
        <v>10000</v>
      </c>
      <c r="U97" s="23">
        <v>43466</v>
      </c>
      <c r="V97" s="23">
        <v>43738</v>
      </c>
      <c r="W97" s="13">
        <v>5969.89</v>
      </c>
    </row>
    <row r="98" spans="1:23" ht="90" x14ac:dyDescent="0.25">
      <c r="A98" s="28" t="s">
        <v>93</v>
      </c>
      <c r="B98" s="21">
        <v>80204250585</v>
      </c>
      <c r="C98" s="22" t="s">
        <v>141</v>
      </c>
      <c r="D98" s="22" t="s">
        <v>354</v>
      </c>
      <c r="E98" s="22" t="s">
        <v>108</v>
      </c>
      <c r="F98" s="22"/>
      <c r="H98" s="22"/>
      <c r="I98" s="22"/>
      <c r="K98" s="22"/>
      <c r="L98" s="22"/>
      <c r="M98" s="22"/>
      <c r="O98" s="21"/>
      <c r="P98" s="22"/>
      <c r="Q98" s="21" t="s">
        <v>205</v>
      </c>
      <c r="R98" s="21"/>
      <c r="S98" s="22" t="s">
        <v>96</v>
      </c>
      <c r="T98" s="13">
        <v>415.75</v>
      </c>
      <c r="U98" s="23">
        <v>43510</v>
      </c>
      <c r="V98" s="23">
        <v>43511</v>
      </c>
      <c r="W98" s="13">
        <v>0</v>
      </c>
    </row>
    <row r="99" spans="1:23" ht="105" x14ac:dyDescent="0.25">
      <c r="A99" s="28" t="s">
        <v>93</v>
      </c>
      <c r="B99" s="21">
        <v>80204250585</v>
      </c>
      <c r="C99" s="22" t="s">
        <v>141</v>
      </c>
      <c r="D99" s="22" t="s">
        <v>355</v>
      </c>
      <c r="E99" s="22" t="s">
        <v>108</v>
      </c>
      <c r="F99" s="22"/>
      <c r="H99" s="22"/>
      <c r="I99" s="22"/>
      <c r="K99" s="22"/>
      <c r="L99" s="22"/>
      <c r="M99" s="22"/>
      <c r="O99" s="21"/>
      <c r="P99" s="22"/>
      <c r="Q99" s="21" t="s">
        <v>205</v>
      </c>
      <c r="R99" s="21"/>
      <c r="S99" s="22" t="s">
        <v>96</v>
      </c>
      <c r="T99" s="13">
        <v>5156.37</v>
      </c>
      <c r="U99" s="23">
        <v>43510</v>
      </c>
      <c r="V99" s="23">
        <v>43511</v>
      </c>
      <c r="W99" s="13">
        <v>0</v>
      </c>
    </row>
    <row r="100" spans="1:23" ht="105" x14ac:dyDescent="0.25">
      <c r="A100" s="28" t="s">
        <v>93</v>
      </c>
      <c r="B100" s="21">
        <v>80204250585</v>
      </c>
      <c r="C100" s="22" t="s">
        <v>141</v>
      </c>
      <c r="D100" s="22" t="s">
        <v>356</v>
      </c>
      <c r="E100" s="22" t="s">
        <v>108</v>
      </c>
      <c r="F100" s="22"/>
      <c r="H100" s="22"/>
      <c r="I100" s="22"/>
      <c r="K100" s="22"/>
      <c r="L100" s="22"/>
      <c r="M100" s="22"/>
      <c r="O100" s="21"/>
      <c r="P100" s="22"/>
      <c r="Q100" s="21" t="s">
        <v>205</v>
      </c>
      <c r="R100" s="21"/>
      <c r="S100" s="22" t="s">
        <v>96</v>
      </c>
      <c r="T100" s="13">
        <v>6485.68</v>
      </c>
      <c r="U100" s="23">
        <v>43510</v>
      </c>
      <c r="V100" s="23">
        <v>43511</v>
      </c>
      <c r="W100" s="13">
        <v>0</v>
      </c>
    </row>
    <row r="101" spans="1:23" ht="75" x14ac:dyDescent="0.25">
      <c r="A101" s="28" t="s">
        <v>357</v>
      </c>
      <c r="B101" s="21">
        <v>80204250585</v>
      </c>
      <c r="C101" s="22" t="s">
        <v>141</v>
      </c>
      <c r="D101" s="22" t="s">
        <v>358</v>
      </c>
      <c r="E101" s="22" t="s">
        <v>108</v>
      </c>
      <c r="F101" s="22"/>
      <c r="H101" s="22"/>
      <c r="I101" s="22"/>
      <c r="J101" s="22">
        <v>12156521002</v>
      </c>
      <c r="K101" s="22"/>
      <c r="L101" s="22" t="s">
        <v>359</v>
      </c>
      <c r="M101" s="22"/>
      <c r="O101" s="21"/>
      <c r="P101" s="22"/>
      <c r="Q101" s="21">
        <v>12156521002</v>
      </c>
      <c r="R101" s="21"/>
      <c r="S101" s="22" t="s">
        <v>359</v>
      </c>
      <c r="T101" s="13">
        <v>19200</v>
      </c>
      <c r="U101" s="23">
        <v>43525</v>
      </c>
      <c r="V101" s="23">
        <v>43890</v>
      </c>
      <c r="W101" s="13">
        <v>16602.95</v>
      </c>
    </row>
    <row r="102" spans="1:23" ht="75" x14ac:dyDescent="0.25">
      <c r="A102" s="28">
        <v>7774728482</v>
      </c>
      <c r="B102" s="21">
        <v>80204250585</v>
      </c>
      <c r="C102" s="22" t="s">
        <v>141</v>
      </c>
      <c r="D102" s="22" t="s">
        <v>360</v>
      </c>
      <c r="E102" s="22" t="s">
        <v>83</v>
      </c>
      <c r="F102" s="22"/>
      <c r="H102" s="22"/>
      <c r="I102" s="22"/>
      <c r="K102" s="22"/>
      <c r="L102" s="22"/>
      <c r="M102" s="22"/>
      <c r="O102" s="21"/>
      <c r="P102" s="22"/>
      <c r="Q102" s="21">
        <v>11673301005</v>
      </c>
      <c r="R102" s="21"/>
      <c r="S102" s="22" t="s">
        <v>87</v>
      </c>
      <c r="T102" s="13">
        <v>164500</v>
      </c>
      <c r="U102" s="23">
        <v>43466</v>
      </c>
      <c r="V102" s="23">
        <v>43830</v>
      </c>
      <c r="W102" s="13">
        <v>164500</v>
      </c>
    </row>
    <row r="103" spans="1:23" ht="90" x14ac:dyDescent="0.25">
      <c r="A103" s="28" t="s">
        <v>361</v>
      </c>
      <c r="B103" s="21">
        <v>80204250585</v>
      </c>
      <c r="C103" s="22" t="s">
        <v>141</v>
      </c>
      <c r="D103" s="22" t="s">
        <v>362</v>
      </c>
      <c r="E103" s="22" t="s">
        <v>54</v>
      </c>
      <c r="F103" s="22"/>
      <c r="H103" s="22"/>
      <c r="I103" s="22"/>
      <c r="K103" s="22"/>
      <c r="L103" s="22"/>
      <c r="M103" s="22"/>
      <c r="O103" s="21"/>
      <c r="P103" s="22"/>
      <c r="Q103" s="21" t="s">
        <v>363</v>
      </c>
      <c r="R103" s="21"/>
      <c r="S103" s="22" t="s">
        <v>364</v>
      </c>
      <c r="T103" s="13">
        <v>41761.61</v>
      </c>
      <c r="U103" s="23">
        <v>43542</v>
      </c>
      <c r="V103" s="23">
        <v>44272</v>
      </c>
      <c r="W103" s="13">
        <v>0</v>
      </c>
    </row>
    <row r="104" spans="1:23" ht="105" x14ac:dyDescent="0.25">
      <c r="A104" s="28" t="s">
        <v>365</v>
      </c>
      <c r="B104" s="21">
        <v>80204250585</v>
      </c>
      <c r="C104" s="22" t="s">
        <v>141</v>
      </c>
      <c r="D104" s="22" t="s">
        <v>366</v>
      </c>
      <c r="E104" s="22" t="s">
        <v>54</v>
      </c>
      <c r="F104" s="22"/>
      <c r="H104" s="22"/>
      <c r="I104" s="22"/>
      <c r="K104" s="22"/>
      <c r="L104" s="22"/>
      <c r="M104" s="22"/>
      <c r="O104" s="21"/>
      <c r="P104" s="22"/>
      <c r="Q104" s="21" t="s">
        <v>363</v>
      </c>
      <c r="R104" s="21"/>
      <c r="S104" s="22" t="s">
        <v>364</v>
      </c>
      <c r="T104" s="13">
        <v>41761.61</v>
      </c>
      <c r="U104" s="23">
        <v>43617</v>
      </c>
      <c r="V104" s="23">
        <v>44347</v>
      </c>
      <c r="W104" s="13">
        <v>0</v>
      </c>
    </row>
    <row r="105" spans="1:23" ht="90" x14ac:dyDescent="0.25">
      <c r="A105" s="28" t="s">
        <v>367</v>
      </c>
      <c r="B105" s="21">
        <v>80204250585</v>
      </c>
      <c r="C105" s="22" t="s">
        <v>141</v>
      </c>
      <c r="D105" s="22" t="s">
        <v>368</v>
      </c>
      <c r="E105" s="22" t="s">
        <v>50</v>
      </c>
      <c r="F105" s="22"/>
      <c r="H105" s="22"/>
      <c r="I105" s="22"/>
      <c r="K105" s="22"/>
      <c r="L105" s="22"/>
      <c r="M105" s="22"/>
      <c r="O105" s="21"/>
      <c r="P105" s="22"/>
      <c r="Q105" s="21" t="s">
        <v>51</v>
      </c>
      <c r="R105" s="21"/>
      <c r="S105" s="27" t="s">
        <v>52</v>
      </c>
      <c r="T105" s="13">
        <v>44577.35</v>
      </c>
      <c r="U105" s="23">
        <v>43535</v>
      </c>
      <c r="V105" s="23">
        <v>44455</v>
      </c>
      <c r="W105" s="13">
        <f>87756.09+182.13+123.42+123.98+338.84+274.93+708.87</f>
        <v>89508.25999999998</v>
      </c>
    </row>
    <row r="106" spans="1:23" ht="90" x14ac:dyDescent="0.25">
      <c r="A106" s="28">
        <v>7789193567</v>
      </c>
      <c r="B106" s="21">
        <v>80204250585</v>
      </c>
      <c r="C106" s="22" t="s">
        <v>141</v>
      </c>
      <c r="D106" s="22" t="s">
        <v>370</v>
      </c>
      <c r="E106" s="22" t="s">
        <v>50</v>
      </c>
      <c r="F106" s="22"/>
      <c r="H106" s="22"/>
      <c r="I106" s="22"/>
      <c r="K106" s="22"/>
      <c r="L106" s="22"/>
      <c r="M106" s="22"/>
      <c r="O106" s="21"/>
      <c r="P106" s="22"/>
      <c r="Q106" s="21" t="s">
        <v>371</v>
      </c>
      <c r="R106" s="21"/>
      <c r="S106" s="22" t="s">
        <v>372</v>
      </c>
      <c r="T106" s="13">
        <v>104266.25</v>
      </c>
      <c r="U106" s="23">
        <v>43507</v>
      </c>
      <c r="V106" s="23">
        <v>43507</v>
      </c>
      <c r="W106" s="13">
        <v>101090</v>
      </c>
    </row>
    <row r="107" spans="1:23" ht="90" x14ac:dyDescent="0.25">
      <c r="A107" s="28" t="s">
        <v>373</v>
      </c>
      <c r="B107" s="21">
        <v>80204250585</v>
      </c>
      <c r="C107" s="22" t="s">
        <v>141</v>
      </c>
      <c r="D107" s="22" t="s">
        <v>374</v>
      </c>
      <c r="E107" s="22" t="s">
        <v>50</v>
      </c>
      <c r="F107" s="22"/>
      <c r="H107" s="22"/>
      <c r="I107" s="22"/>
      <c r="K107" s="22"/>
      <c r="L107" s="22"/>
      <c r="M107" s="22"/>
      <c r="O107" s="21"/>
      <c r="P107" s="22"/>
      <c r="Q107" s="22" t="s">
        <v>1560</v>
      </c>
      <c r="R107" s="21"/>
      <c r="S107" s="22" t="s">
        <v>375</v>
      </c>
      <c r="T107" s="13">
        <v>3154.08</v>
      </c>
      <c r="W107" s="13">
        <v>0</v>
      </c>
    </row>
    <row r="108" spans="1:23" ht="75" x14ac:dyDescent="0.25">
      <c r="A108" s="28">
        <v>7721605905</v>
      </c>
      <c r="B108" s="21">
        <v>80204250585</v>
      </c>
      <c r="C108" s="22" t="s">
        <v>141</v>
      </c>
      <c r="D108" s="22" t="s">
        <v>376</v>
      </c>
      <c r="E108" s="22" t="s">
        <v>54</v>
      </c>
      <c r="F108" s="22"/>
      <c r="H108" s="22"/>
      <c r="I108" s="22"/>
      <c r="K108" s="22"/>
      <c r="L108" s="22"/>
      <c r="M108" s="22"/>
      <c r="O108" s="21"/>
      <c r="P108" s="22"/>
      <c r="Q108" s="21" t="s">
        <v>377</v>
      </c>
      <c r="R108" s="21"/>
      <c r="S108" s="22" t="s">
        <v>378</v>
      </c>
      <c r="T108" s="13">
        <v>41900</v>
      </c>
      <c r="U108" s="23">
        <v>43466</v>
      </c>
      <c r="V108" s="23">
        <v>43830</v>
      </c>
      <c r="W108" s="13">
        <v>0</v>
      </c>
    </row>
    <row r="109" spans="1:23" ht="90" x14ac:dyDescent="0.25">
      <c r="A109" s="28" t="s">
        <v>379</v>
      </c>
      <c r="B109" s="21">
        <v>80204250585</v>
      </c>
      <c r="C109" s="22" t="s">
        <v>141</v>
      </c>
      <c r="D109" s="22" t="s">
        <v>380</v>
      </c>
      <c r="E109" s="22" t="s">
        <v>108</v>
      </c>
      <c r="F109" s="22"/>
      <c r="H109" s="22"/>
      <c r="I109" s="22"/>
      <c r="K109" s="22"/>
      <c r="L109" s="22"/>
      <c r="M109" s="22"/>
      <c r="O109" s="21"/>
      <c r="P109" s="22"/>
      <c r="Q109" s="21" t="s">
        <v>203</v>
      </c>
      <c r="R109" s="21"/>
      <c r="S109" s="22" t="s">
        <v>204</v>
      </c>
      <c r="T109" s="13">
        <v>10000</v>
      </c>
      <c r="U109" s="23">
        <v>43559</v>
      </c>
      <c r="V109" s="23">
        <v>43830</v>
      </c>
      <c r="W109" s="13">
        <v>2807.81</v>
      </c>
    </row>
    <row r="110" spans="1:23" ht="75" x14ac:dyDescent="0.25">
      <c r="A110" s="28" t="s">
        <v>381</v>
      </c>
      <c r="B110" s="21">
        <v>80204250585</v>
      </c>
      <c r="C110" s="22" t="s">
        <v>141</v>
      </c>
      <c r="D110" s="22" t="s">
        <v>382</v>
      </c>
      <c r="E110" s="22" t="s">
        <v>108</v>
      </c>
      <c r="F110" s="22"/>
      <c r="H110" s="22"/>
      <c r="I110" s="22"/>
      <c r="K110" s="22"/>
      <c r="L110" s="22"/>
      <c r="M110" s="22"/>
      <c r="O110" s="21"/>
      <c r="P110" s="22"/>
      <c r="R110" s="21"/>
      <c r="S110" s="22" t="s">
        <v>383</v>
      </c>
      <c r="T110" s="13">
        <v>5100</v>
      </c>
      <c r="U110" s="23">
        <v>43647</v>
      </c>
      <c r="V110" s="23">
        <v>44377</v>
      </c>
      <c r="W110" s="13">
        <v>3825</v>
      </c>
    </row>
    <row r="111" spans="1:23" ht="135" x14ac:dyDescent="0.25">
      <c r="A111" s="28" t="s">
        <v>384</v>
      </c>
      <c r="B111" s="21">
        <v>80204250585</v>
      </c>
      <c r="C111" s="22" t="s">
        <v>141</v>
      </c>
      <c r="D111" s="22" t="s">
        <v>385</v>
      </c>
      <c r="E111" s="22" t="s">
        <v>50</v>
      </c>
      <c r="F111" s="22"/>
      <c r="H111" s="22"/>
      <c r="I111" s="22"/>
      <c r="J111" s="22" t="s">
        <v>386</v>
      </c>
      <c r="K111" s="22"/>
      <c r="L111" s="22" t="s">
        <v>387</v>
      </c>
      <c r="M111" s="22"/>
      <c r="O111" s="21"/>
      <c r="P111" s="22"/>
      <c r="Q111" s="21" t="s">
        <v>386</v>
      </c>
      <c r="R111" s="21"/>
      <c r="S111" s="22" t="s">
        <v>387</v>
      </c>
      <c r="T111" s="13">
        <v>6336.06</v>
      </c>
      <c r="U111" s="23">
        <v>43587</v>
      </c>
      <c r="V111" s="23">
        <v>44585</v>
      </c>
      <c r="W111" s="13">
        <v>2578.2199999999998</v>
      </c>
    </row>
    <row r="112" spans="1:23" ht="120" x14ac:dyDescent="0.25">
      <c r="A112" s="28" t="s">
        <v>388</v>
      </c>
      <c r="B112" s="21">
        <v>80204250585</v>
      </c>
      <c r="C112" s="22" t="s">
        <v>141</v>
      </c>
      <c r="D112" s="22" t="s">
        <v>389</v>
      </c>
      <c r="E112" s="22" t="s">
        <v>108</v>
      </c>
      <c r="F112" s="22"/>
      <c r="H112" s="22"/>
      <c r="I112" s="22"/>
      <c r="K112" s="22"/>
      <c r="L112" s="22"/>
      <c r="M112" s="22"/>
      <c r="O112" s="21"/>
      <c r="P112" s="22"/>
      <c r="Q112" s="21" t="s">
        <v>390</v>
      </c>
      <c r="R112" s="21"/>
      <c r="S112" s="22" t="s">
        <v>391</v>
      </c>
      <c r="T112" s="13">
        <v>4336</v>
      </c>
      <c r="U112" s="23">
        <v>43591</v>
      </c>
      <c r="V112" s="23">
        <v>43616</v>
      </c>
      <c r="W112" s="13">
        <v>4336</v>
      </c>
    </row>
    <row r="113" spans="1:23" ht="90" x14ac:dyDescent="0.25">
      <c r="A113" s="28" t="s">
        <v>392</v>
      </c>
      <c r="B113" s="21">
        <v>80204250585</v>
      </c>
      <c r="C113" s="22" t="s">
        <v>141</v>
      </c>
      <c r="D113" s="22" t="s">
        <v>393</v>
      </c>
      <c r="E113" s="22" t="s">
        <v>108</v>
      </c>
      <c r="F113" s="22"/>
      <c r="H113" s="22"/>
      <c r="I113" s="22"/>
      <c r="K113" s="22"/>
      <c r="L113" s="22"/>
      <c r="M113" s="22"/>
      <c r="O113" s="21"/>
      <c r="P113" s="22"/>
      <c r="Q113" s="21" t="s">
        <v>390</v>
      </c>
      <c r="R113" s="21"/>
      <c r="S113" s="22" t="s">
        <v>391</v>
      </c>
      <c r="T113" s="13">
        <v>4720</v>
      </c>
      <c r="U113" s="23">
        <v>43564</v>
      </c>
      <c r="V113" s="23">
        <v>43575</v>
      </c>
      <c r="W113" s="13">
        <v>4720</v>
      </c>
    </row>
    <row r="114" spans="1:23" ht="75" x14ac:dyDescent="0.25">
      <c r="A114" s="28" t="s">
        <v>394</v>
      </c>
      <c r="B114" s="21">
        <v>80204250585</v>
      </c>
      <c r="C114" s="22" t="s">
        <v>141</v>
      </c>
      <c r="D114" s="22" t="s">
        <v>395</v>
      </c>
      <c r="E114" s="22" t="s">
        <v>54</v>
      </c>
      <c r="F114" s="22"/>
      <c r="H114" s="22"/>
      <c r="I114" s="22"/>
      <c r="K114" s="22"/>
      <c r="L114" s="22"/>
      <c r="M114" s="22"/>
      <c r="O114" s="21"/>
      <c r="P114" s="22"/>
      <c r="Q114" s="21">
        <v>11334081004</v>
      </c>
      <c r="R114" s="21"/>
      <c r="S114" s="22" t="s">
        <v>165</v>
      </c>
      <c r="T114" s="13">
        <v>39360</v>
      </c>
      <c r="U114" s="23">
        <v>43617</v>
      </c>
      <c r="V114" s="23">
        <v>43982</v>
      </c>
      <c r="W114" s="13">
        <v>7690</v>
      </c>
    </row>
    <row r="115" spans="1:23" ht="75" x14ac:dyDescent="0.25">
      <c r="A115" s="28" t="s">
        <v>396</v>
      </c>
      <c r="B115" s="21">
        <v>80204250585</v>
      </c>
      <c r="C115" s="22" t="s">
        <v>141</v>
      </c>
      <c r="D115" s="22" t="s">
        <v>397</v>
      </c>
      <c r="E115" s="22" t="s">
        <v>54</v>
      </c>
      <c r="F115" s="22"/>
      <c r="H115" s="22"/>
      <c r="I115" s="22"/>
      <c r="K115" s="22"/>
      <c r="L115" s="22"/>
      <c r="M115" s="22"/>
      <c r="O115" s="21"/>
      <c r="P115" s="22"/>
      <c r="Q115" s="21" t="s">
        <v>398</v>
      </c>
      <c r="R115" s="21"/>
      <c r="S115" s="22" t="s">
        <v>399</v>
      </c>
      <c r="T115" s="13">
        <v>37529</v>
      </c>
      <c r="U115" s="23">
        <v>43617</v>
      </c>
      <c r="V115" s="23">
        <v>44347</v>
      </c>
      <c r="W115" s="13">
        <v>37529</v>
      </c>
    </row>
    <row r="116" spans="1:23" ht="90" x14ac:dyDescent="0.25">
      <c r="A116" s="28" t="s">
        <v>400</v>
      </c>
      <c r="B116" s="21">
        <v>80204250585</v>
      </c>
      <c r="C116" s="22" t="s">
        <v>141</v>
      </c>
      <c r="D116" s="22" t="s">
        <v>401</v>
      </c>
      <c r="E116" s="22" t="s">
        <v>50</v>
      </c>
      <c r="F116" s="22"/>
      <c r="H116" s="22"/>
      <c r="I116" s="22"/>
      <c r="J116" s="22" t="s">
        <v>402</v>
      </c>
      <c r="K116" s="22"/>
      <c r="L116" s="22" t="s">
        <v>403</v>
      </c>
      <c r="M116" s="22"/>
      <c r="O116" s="21"/>
      <c r="P116" s="22"/>
      <c r="Q116" s="21" t="s">
        <v>402</v>
      </c>
      <c r="R116" s="21"/>
      <c r="S116" s="22" t="s">
        <v>403</v>
      </c>
      <c r="T116" s="13">
        <v>650000</v>
      </c>
      <c r="U116" s="23">
        <v>43586</v>
      </c>
      <c r="V116" s="23">
        <v>43951</v>
      </c>
      <c r="W116" s="13">
        <v>409379.44999999995</v>
      </c>
    </row>
    <row r="117" spans="1:23" ht="120" x14ac:dyDescent="0.25">
      <c r="A117" s="28" t="s">
        <v>404</v>
      </c>
      <c r="B117" s="21">
        <v>80204250585</v>
      </c>
      <c r="C117" s="22" t="s">
        <v>141</v>
      </c>
      <c r="D117" s="22" t="s">
        <v>405</v>
      </c>
      <c r="E117" s="22" t="s">
        <v>108</v>
      </c>
      <c r="F117" s="22"/>
      <c r="H117" s="22"/>
      <c r="I117" s="22"/>
      <c r="K117" s="22"/>
      <c r="L117" s="22"/>
      <c r="M117" s="22"/>
      <c r="O117" s="21"/>
      <c r="P117" s="22"/>
      <c r="Q117" s="21">
        <v>14309031004</v>
      </c>
      <c r="R117" s="21"/>
      <c r="S117" s="22" t="s">
        <v>406</v>
      </c>
      <c r="T117" s="13">
        <v>1560</v>
      </c>
      <c r="U117" s="23">
        <v>43647</v>
      </c>
      <c r="V117" s="23">
        <v>44743</v>
      </c>
      <c r="W117" s="13">
        <v>1560</v>
      </c>
    </row>
    <row r="118" spans="1:23" ht="105" x14ac:dyDescent="0.25">
      <c r="A118" s="28" t="s">
        <v>1689</v>
      </c>
      <c r="B118" s="21">
        <v>80204250585</v>
      </c>
      <c r="C118" s="22" t="s">
        <v>141</v>
      </c>
      <c r="D118" s="22" t="s">
        <v>407</v>
      </c>
      <c r="E118" s="22" t="s">
        <v>50</v>
      </c>
      <c r="F118" s="22"/>
      <c r="H118" s="22"/>
      <c r="I118" s="22"/>
      <c r="K118" s="22"/>
      <c r="L118" s="22"/>
      <c r="M118" s="22"/>
      <c r="O118" s="21"/>
      <c r="P118" s="22"/>
      <c r="Q118" s="21">
        <v>11986091004</v>
      </c>
      <c r="R118" s="21"/>
      <c r="S118" s="22" t="s">
        <v>408</v>
      </c>
      <c r="T118" s="13">
        <v>2082.25</v>
      </c>
      <c r="U118" s="23">
        <v>43563</v>
      </c>
      <c r="V118" s="23">
        <v>43585</v>
      </c>
      <c r="W118" s="13">
        <v>11901.36</v>
      </c>
    </row>
    <row r="119" spans="1:23" ht="135" x14ac:dyDescent="0.25">
      <c r="A119" s="28" t="s">
        <v>409</v>
      </c>
      <c r="B119" s="21">
        <v>80204250585</v>
      </c>
      <c r="C119" s="22" t="s">
        <v>141</v>
      </c>
      <c r="D119" s="22" t="s">
        <v>410</v>
      </c>
      <c r="E119" s="22" t="s">
        <v>108</v>
      </c>
      <c r="F119" s="22"/>
      <c r="H119" s="22"/>
      <c r="I119" s="22"/>
      <c r="K119" s="22"/>
      <c r="L119" s="22"/>
      <c r="M119" s="22"/>
      <c r="O119" s="21"/>
      <c r="P119" s="22"/>
      <c r="Q119" s="21" t="s">
        <v>411</v>
      </c>
      <c r="R119" s="21"/>
      <c r="S119" s="22" t="s">
        <v>412</v>
      </c>
      <c r="T119" s="13">
        <v>4500</v>
      </c>
      <c r="U119" s="23">
        <v>43593</v>
      </c>
      <c r="V119" s="23">
        <v>43661</v>
      </c>
      <c r="W119" s="13">
        <v>4398.6900000000005</v>
      </c>
    </row>
    <row r="120" spans="1:23" ht="150" x14ac:dyDescent="0.25">
      <c r="A120" s="28" t="s">
        <v>413</v>
      </c>
      <c r="B120" s="21">
        <v>80204250585</v>
      </c>
      <c r="C120" s="22" t="s">
        <v>141</v>
      </c>
      <c r="D120" s="22" t="s">
        <v>414</v>
      </c>
      <c r="E120" s="22" t="s">
        <v>108</v>
      </c>
      <c r="F120" s="22"/>
      <c r="H120" s="22"/>
      <c r="I120" s="22"/>
      <c r="J120" s="22" t="s">
        <v>415</v>
      </c>
      <c r="K120" s="22"/>
      <c r="L120" s="22" t="s">
        <v>416</v>
      </c>
      <c r="M120" s="22"/>
      <c r="O120" s="21"/>
      <c r="P120" s="22"/>
      <c r="Q120" s="21" t="s">
        <v>1545</v>
      </c>
      <c r="R120" s="21"/>
      <c r="S120" s="22" t="s">
        <v>417</v>
      </c>
      <c r="T120" s="13">
        <f>39714+7143.5</f>
        <v>46857.5</v>
      </c>
      <c r="U120" s="23">
        <v>43617</v>
      </c>
      <c r="V120" s="23">
        <v>44712</v>
      </c>
      <c r="W120" s="13">
        <f>49555.86+1866</f>
        <v>51421.86</v>
      </c>
    </row>
    <row r="121" spans="1:23" ht="90" x14ac:dyDescent="0.25">
      <c r="A121" s="28" t="s">
        <v>418</v>
      </c>
      <c r="B121" s="21">
        <v>80204250585</v>
      </c>
      <c r="C121" s="22" t="s">
        <v>141</v>
      </c>
      <c r="D121" s="22" t="s">
        <v>419</v>
      </c>
      <c r="E121" s="22" t="s">
        <v>108</v>
      </c>
      <c r="F121" s="22"/>
      <c r="H121" s="22"/>
      <c r="I121" s="22"/>
      <c r="K121" s="22"/>
      <c r="L121" s="22"/>
      <c r="M121" s="22"/>
      <c r="O121" s="21"/>
      <c r="P121" s="22"/>
      <c r="Q121" s="21" t="s">
        <v>420</v>
      </c>
      <c r="R121" s="21"/>
      <c r="S121" s="22" t="s">
        <v>421</v>
      </c>
      <c r="T121" s="13">
        <v>1550</v>
      </c>
      <c r="U121" s="23">
        <v>43613</v>
      </c>
      <c r="V121" s="23">
        <v>43614</v>
      </c>
      <c r="W121" s="13">
        <v>1550</v>
      </c>
    </row>
    <row r="122" spans="1:23" ht="30" x14ac:dyDescent="0.25">
      <c r="A122" s="28" t="s">
        <v>422</v>
      </c>
      <c r="B122" s="21">
        <v>80204250585</v>
      </c>
      <c r="C122" s="22" t="s">
        <v>141</v>
      </c>
      <c r="D122" s="22" t="s">
        <v>423</v>
      </c>
      <c r="E122" s="22" t="s">
        <v>108</v>
      </c>
      <c r="F122" s="22"/>
      <c r="H122" s="22"/>
      <c r="I122" s="22"/>
      <c r="K122" s="22"/>
      <c r="L122" s="22"/>
      <c r="M122" s="22"/>
      <c r="O122" s="21"/>
      <c r="P122" s="22"/>
      <c r="Q122" s="21" t="s">
        <v>352</v>
      </c>
      <c r="R122" s="21"/>
      <c r="S122" s="22" t="s">
        <v>353</v>
      </c>
      <c r="T122" s="13">
        <v>4500</v>
      </c>
      <c r="U122" s="23">
        <v>43614</v>
      </c>
      <c r="V122" s="23">
        <v>43645</v>
      </c>
      <c r="W122" s="13">
        <v>0</v>
      </c>
    </row>
    <row r="123" spans="1:23" ht="180" x14ac:dyDescent="0.25">
      <c r="A123" s="28" t="s">
        <v>424</v>
      </c>
      <c r="B123" s="21">
        <v>80204250585</v>
      </c>
      <c r="C123" s="22" t="s">
        <v>141</v>
      </c>
      <c r="D123" s="22" t="s">
        <v>425</v>
      </c>
      <c r="E123" s="22" t="s">
        <v>108</v>
      </c>
      <c r="F123" s="22"/>
      <c r="H123" s="22"/>
      <c r="I123" s="22"/>
      <c r="K123" s="22"/>
      <c r="L123" s="22"/>
      <c r="M123" s="22"/>
      <c r="O123" s="21"/>
      <c r="P123" s="22"/>
      <c r="Q123" s="21" t="s">
        <v>426</v>
      </c>
      <c r="R123" s="21"/>
      <c r="S123" s="22" t="s">
        <v>427</v>
      </c>
      <c r="T123" s="13" t="s">
        <v>428</v>
      </c>
      <c r="U123" s="23">
        <v>43595</v>
      </c>
      <c r="V123" s="23">
        <v>44316</v>
      </c>
      <c r="W123" s="13">
        <v>0</v>
      </c>
    </row>
    <row r="124" spans="1:23" ht="225" x14ac:dyDescent="0.25">
      <c r="A124" s="28" t="s">
        <v>429</v>
      </c>
      <c r="B124" s="21">
        <v>80204250585</v>
      </c>
      <c r="C124" s="22" t="s">
        <v>141</v>
      </c>
      <c r="D124" s="22" t="s">
        <v>430</v>
      </c>
      <c r="E124" s="22" t="s">
        <v>108</v>
      </c>
      <c r="F124" s="22"/>
      <c r="H124" s="22"/>
      <c r="I124" s="22"/>
      <c r="K124" s="22"/>
      <c r="L124" s="22"/>
      <c r="M124" s="22"/>
      <c r="O124" s="21"/>
      <c r="P124" s="22"/>
      <c r="Q124" s="21" t="s">
        <v>431</v>
      </c>
      <c r="R124" s="21"/>
      <c r="S124" s="22" t="s">
        <v>432</v>
      </c>
      <c r="T124" s="13">
        <v>45100</v>
      </c>
      <c r="U124" s="23">
        <v>43585</v>
      </c>
      <c r="V124" s="23">
        <v>44316</v>
      </c>
      <c r="W124" s="13">
        <v>0</v>
      </c>
    </row>
    <row r="125" spans="1:23" ht="60" x14ac:dyDescent="0.25">
      <c r="A125" s="24" t="s">
        <v>433</v>
      </c>
      <c r="B125" s="21">
        <v>80204250585</v>
      </c>
      <c r="C125" s="22" t="s">
        <v>141</v>
      </c>
      <c r="D125" s="27" t="s">
        <v>434</v>
      </c>
      <c r="E125" s="22" t="s">
        <v>108</v>
      </c>
      <c r="Q125" s="21" t="s">
        <v>435</v>
      </c>
      <c r="S125" s="27" t="s">
        <v>436</v>
      </c>
      <c r="T125" s="13">
        <v>3750</v>
      </c>
      <c r="U125" s="23">
        <v>43556</v>
      </c>
      <c r="V125" s="23">
        <v>43830</v>
      </c>
      <c r="W125" s="13">
        <v>0</v>
      </c>
    </row>
    <row r="126" spans="1:23" ht="409.5" x14ac:dyDescent="0.25">
      <c r="A126" s="28" t="s">
        <v>437</v>
      </c>
      <c r="B126" s="21">
        <v>80204250585</v>
      </c>
      <c r="C126" s="22" t="s">
        <v>141</v>
      </c>
      <c r="D126" s="22" t="s">
        <v>438</v>
      </c>
      <c r="E126" s="22" t="s">
        <v>108</v>
      </c>
      <c r="F126" s="30"/>
      <c r="G126" s="30"/>
      <c r="H126" s="30"/>
      <c r="I126" s="30"/>
      <c r="J126" s="22" t="s">
        <v>439</v>
      </c>
      <c r="K126" s="30"/>
      <c r="L126" s="30" t="s">
        <v>440</v>
      </c>
      <c r="M126" s="30"/>
      <c r="N126" s="31"/>
      <c r="O126" s="31"/>
      <c r="P126" s="30"/>
      <c r="Q126" s="21" t="s">
        <v>441</v>
      </c>
      <c r="R126" s="31"/>
      <c r="S126" s="30" t="s">
        <v>442</v>
      </c>
      <c r="T126" s="13">
        <v>24100</v>
      </c>
      <c r="U126" s="23">
        <v>43709</v>
      </c>
      <c r="V126" s="23">
        <v>44316</v>
      </c>
      <c r="W126" s="13">
        <v>0</v>
      </c>
    </row>
    <row r="127" spans="1:23" ht="105" x14ac:dyDescent="0.25">
      <c r="A127" s="28" t="s">
        <v>443</v>
      </c>
      <c r="B127" s="21">
        <v>80204250585</v>
      </c>
      <c r="C127" s="22" t="s">
        <v>48</v>
      </c>
      <c r="D127" s="22" t="s">
        <v>107</v>
      </c>
      <c r="E127" s="22" t="s">
        <v>108</v>
      </c>
      <c r="F127" s="22"/>
      <c r="H127" s="22"/>
      <c r="I127" s="22"/>
      <c r="J127" s="22" t="s">
        <v>109</v>
      </c>
      <c r="K127" s="22"/>
      <c r="L127" s="22" t="s">
        <v>110</v>
      </c>
      <c r="M127" s="22"/>
      <c r="O127" s="21"/>
      <c r="P127" s="22"/>
      <c r="Q127" s="21" t="s">
        <v>109</v>
      </c>
      <c r="R127" s="21"/>
      <c r="S127" s="22" t="s">
        <v>110</v>
      </c>
      <c r="T127" s="13">
        <v>27325.42</v>
      </c>
      <c r="U127" s="23">
        <v>43647</v>
      </c>
      <c r="V127" s="23">
        <v>43769</v>
      </c>
      <c r="W127" s="13">
        <v>12135.95</v>
      </c>
    </row>
    <row r="128" spans="1:23" ht="150" x14ac:dyDescent="0.25">
      <c r="A128" s="24" t="s">
        <v>446</v>
      </c>
      <c r="B128" s="21">
        <v>80204250585</v>
      </c>
      <c r="C128" s="22" t="s">
        <v>48</v>
      </c>
      <c r="D128" s="27" t="s">
        <v>447</v>
      </c>
      <c r="E128" s="22" t="s">
        <v>108</v>
      </c>
      <c r="I128" s="22"/>
      <c r="J128" s="22" t="s">
        <v>448</v>
      </c>
      <c r="L128" s="27" t="s">
        <v>449</v>
      </c>
      <c r="N128" s="21"/>
      <c r="Q128" s="21" t="s">
        <v>88</v>
      </c>
      <c r="R128" s="25"/>
      <c r="S128" s="27" t="s">
        <v>89</v>
      </c>
      <c r="T128" s="13">
        <v>5800</v>
      </c>
      <c r="U128" s="23">
        <v>43034</v>
      </c>
      <c r="V128" s="23">
        <v>44129</v>
      </c>
      <c r="W128" s="13">
        <v>3866.64</v>
      </c>
    </row>
    <row r="129" spans="1:23" ht="75" x14ac:dyDescent="0.25">
      <c r="A129" s="24" t="s">
        <v>450</v>
      </c>
      <c r="B129" s="21">
        <v>80204250585</v>
      </c>
      <c r="C129" s="22" t="s">
        <v>141</v>
      </c>
      <c r="D129" s="22" t="s">
        <v>451</v>
      </c>
      <c r="E129" s="22" t="s">
        <v>108</v>
      </c>
      <c r="Q129" s="21" t="s">
        <v>420</v>
      </c>
      <c r="S129" s="27" t="s">
        <v>421</v>
      </c>
      <c r="T129" s="13">
        <v>2470</v>
      </c>
      <c r="U129" s="23">
        <v>43655</v>
      </c>
      <c r="V129" s="23">
        <v>43655</v>
      </c>
      <c r="W129" s="13">
        <v>2470</v>
      </c>
    </row>
    <row r="130" spans="1:23" ht="90" x14ac:dyDescent="0.25">
      <c r="A130" s="24" t="s">
        <v>452</v>
      </c>
      <c r="B130" s="21">
        <v>80204250585</v>
      </c>
      <c r="C130" s="22" t="s">
        <v>141</v>
      </c>
      <c r="D130" s="22" t="s">
        <v>453</v>
      </c>
      <c r="E130" s="22" t="s">
        <v>108</v>
      </c>
      <c r="Q130" s="21" t="s">
        <v>420</v>
      </c>
      <c r="S130" s="27" t="s">
        <v>421</v>
      </c>
      <c r="T130" s="13">
        <v>3700</v>
      </c>
      <c r="U130" s="23">
        <v>43655</v>
      </c>
      <c r="V130" s="23">
        <v>43655</v>
      </c>
      <c r="W130" s="13">
        <v>3700</v>
      </c>
    </row>
    <row r="131" spans="1:23" ht="105" x14ac:dyDescent="0.25">
      <c r="A131" s="24" t="s">
        <v>454</v>
      </c>
      <c r="B131" s="21">
        <v>80204250585</v>
      </c>
      <c r="C131" s="22" t="s">
        <v>141</v>
      </c>
      <c r="D131" s="22" t="s">
        <v>455</v>
      </c>
      <c r="E131" s="27" t="s">
        <v>164</v>
      </c>
      <c r="S131" s="27" t="s">
        <v>456</v>
      </c>
      <c r="T131" s="13">
        <v>3800</v>
      </c>
      <c r="U131" s="23">
        <v>43732</v>
      </c>
      <c r="V131" s="23">
        <v>44098</v>
      </c>
      <c r="W131" s="13">
        <v>0</v>
      </c>
    </row>
    <row r="132" spans="1:23" ht="60" x14ac:dyDescent="0.25">
      <c r="A132" s="24" t="s">
        <v>457</v>
      </c>
      <c r="B132" s="21">
        <v>80204250585</v>
      </c>
      <c r="C132" s="22" t="s">
        <v>141</v>
      </c>
      <c r="D132" s="22" t="s">
        <v>458</v>
      </c>
      <c r="E132" s="22" t="s">
        <v>108</v>
      </c>
      <c r="Q132" s="21" t="s">
        <v>459</v>
      </c>
      <c r="S132" s="27" t="s">
        <v>460</v>
      </c>
      <c r="T132" s="13">
        <v>2400</v>
      </c>
      <c r="U132" s="23">
        <v>43732</v>
      </c>
      <c r="V132" s="23">
        <v>44098</v>
      </c>
      <c r="W132" s="13">
        <v>1820</v>
      </c>
    </row>
    <row r="133" spans="1:23" ht="90" x14ac:dyDescent="0.25">
      <c r="A133" s="24" t="s">
        <v>461</v>
      </c>
      <c r="B133" s="21">
        <v>80204250585</v>
      </c>
      <c r="C133" s="22" t="s">
        <v>141</v>
      </c>
      <c r="D133" s="27" t="s">
        <v>462</v>
      </c>
      <c r="E133" s="22" t="s">
        <v>50</v>
      </c>
      <c r="Q133" s="21" t="s">
        <v>88</v>
      </c>
      <c r="S133" s="27" t="s">
        <v>89</v>
      </c>
      <c r="T133" s="13">
        <v>18009</v>
      </c>
      <c r="U133" s="23">
        <v>43788</v>
      </c>
      <c r="V133" s="23">
        <v>45614</v>
      </c>
      <c r="W133" s="13">
        <v>18009</v>
      </c>
    </row>
    <row r="134" spans="1:23" ht="90" x14ac:dyDescent="0.25">
      <c r="A134" s="24" t="s">
        <v>463</v>
      </c>
      <c r="B134" s="21">
        <v>80204250585</v>
      </c>
      <c r="C134" s="22" t="s">
        <v>141</v>
      </c>
      <c r="D134" s="27" t="s">
        <v>464</v>
      </c>
      <c r="E134" s="22" t="s">
        <v>50</v>
      </c>
      <c r="Q134" s="21" t="s">
        <v>88</v>
      </c>
      <c r="S134" s="27" t="s">
        <v>89</v>
      </c>
      <c r="T134" s="13">
        <v>154060</v>
      </c>
      <c r="U134" s="23">
        <v>43805</v>
      </c>
      <c r="V134" s="23">
        <v>45631</v>
      </c>
      <c r="W134" s="13">
        <v>154060</v>
      </c>
    </row>
    <row r="135" spans="1:23" ht="105" x14ac:dyDescent="0.25">
      <c r="A135" s="24" t="s">
        <v>465</v>
      </c>
      <c r="B135" s="21">
        <v>80204250585</v>
      </c>
      <c r="C135" s="22" t="s">
        <v>141</v>
      </c>
      <c r="D135" s="27" t="s">
        <v>466</v>
      </c>
      <c r="E135" s="22" t="s">
        <v>50</v>
      </c>
      <c r="Q135" s="32" t="s">
        <v>1344</v>
      </c>
      <c r="S135" s="27" t="s">
        <v>926</v>
      </c>
      <c r="T135" s="13">
        <v>732467.05</v>
      </c>
      <c r="U135" s="23">
        <v>43714</v>
      </c>
      <c r="V135" s="23">
        <v>44398</v>
      </c>
      <c r="W135" s="13">
        <v>567266.29</v>
      </c>
    </row>
    <row r="136" spans="1:23" ht="195" x14ac:dyDescent="0.25">
      <c r="A136" s="24" t="s">
        <v>467</v>
      </c>
      <c r="B136" s="21" t="s">
        <v>468</v>
      </c>
      <c r="C136" s="22" t="s">
        <v>141</v>
      </c>
      <c r="D136" s="27" t="s">
        <v>469</v>
      </c>
      <c r="E136" s="22" t="s">
        <v>50</v>
      </c>
      <c r="Q136" s="21" t="s">
        <v>470</v>
      </c>
      <c r="S136" s="27" t="s">
        <v>471</v>
      </c>
      <c r="T136" s="13">
        <v>150000</v>
      </c>
      <c r="U136" s="23">
        <v>43739</v>
      </c>
      <c r="V136" s="23">
        <v>44469</v>
      </c>
      <c r="W136" s="13">
        <v>100967.27</v>
      </c>
    </row>
    <row r="137" spans="1:23" ht="75" x14ac:dyDescent="0.25">
      <c r="A137" s="24" t="s">
        <v>472</v>
      </c>
      <c r="B137" s="21">
        <v>80204250585</v>
      </c>
      <c r="C137" s="22" t="s">
        <v>141</v>
      </c>
      <c r="D137" s="27" t="s">
        <v>473</v>
      </c>
      <c r="E137" s="22" t="s">
        <v>54</v>
      </c>
      <c r="S137" s="27" t="s">
        <v>304</v>
      </c>
      <c r="T137" s="13">
        <v>39200</v>
      </c>
      <c r="U137" s="23">
        <v>43749</v>
      </c>
      <c r="V137" s="23">
        <v>44196</v>
      </c>
      <c r="W137" s="13">
        <v>0</v>
      </c>
    </row>
    <row r="138" spans="1:23" ht="90" x14ac:dyDescent="0.25">
      <c r="A138" s="24" t="s">
        <v>474</v>
      </c>
      <c r="B138" s="21">
        <v>80204250585</v>
      </c>
      <c r="C138" s="22" t="s">
        <v>141</v>
      </c>
      <c r="D138" s="27" t="s">
        <v>475</v>
      </c>
      <c r="E138" s="22" t="s">
        <v>108</v>
      </c>
      <c r="Q138" s="21" t="s">
        <v>243</v>
      </c>
      <c r="S138" s="27" t="s">
        <v>476</v>
      </c>
      <c r="T138" s="13">
        <v>720</v>
      </c>
      <c r="U138" s="23">
        <v>43753</v>
      </c>
      <c r="V138" s="23">
        <v>43799</v>
      </c>
      <c r="W138" s="13">
        <v>720</v>
      </c>
    </row>
    <row r="139" spans="1:23" ht="90" x14ac:dyDescent="0.25">
      <c r="A139" s="24" t="s">
        <v>477</v>
      </c>
      <c r="B139" s="21">
        <v>80204250585</v>
      </c>
      <c r="C139" s="22" t="s">
        <v>141</v>
      </c>
      <c r="D139" s="27" t="s">
        <v>478</v>
      </c>
      <c r="E139" s="22" t="s">
        <v>50</v>
      </c>
      <c r="Q139" s="21" t="s">
        <v>88</v>
      </c>
      <c r="S139" s="27" t="s">
        <v>89</v>
      </c>
      <c r="T139" s="13">
        <v>392866.84</v>
      </c>
      <c r="U139" s="23">
        <v>43814</v>
      </c>
      <c r="V139" s="23">
        <v>44909</v>
      </c>
      <c r="W139" s="13">
        <v>0</v>
      </c>
    </row>
    <row r="140" spans="1:23" ht="75" x14ac:dyDescent="0.25">
      <c r="A140" s="24" t="s">
        <v>479</v>
      </c>
      <c r="B140" s="21">
        <v>80204250585</v>
      </c>
      <c r="C140" s="22" t="s">
        <v>141</v>
      </c>
      <c r="D140" s="27" t="s">
        <v>480</v>
      </c>
      <c r="E140" s="22" t="s">
        <v>54</v>
      </c>
      <c r="Q140" s="21">
        <v>13211660157</v>
      </c>
      <c r="S140" s="27" t="s">
        <v>481</v>
      </c>
      <c r="T140" s="13">
        <v>12000</v>
      </c>
      <c r="U140" s="23">
        <v>43831</v>
      </c>
      <c r="V140" s="23">
        <v>44196</v>
      </c>
      <c r="W140" s="13">
        <v>9000</v>
      </c>
    </row>
    <row r="141" spans="1:23" ht="60" x14ac:dyDescent="0.25">
      <c r="A141" s="24" t="s">
        <v>482</v>
      </c>
      <c r="B141" s="21">
        <v>80204250585</v>
      </c>
      <c r="C141" s="22" t="s">
        <v>141</v>
      </c>
      <c r="D141" s="27" t="s">
        <v>483</v>
      </c>
      <c r="E141" s="22" t="s">
        <v>54</v>
      </c>
      <c r="Q141" s="21" t="s">
        <v>484</v>
      </c>
      <c r="S141" s="27" t="s">
        <v>485</v>
      </c>
      <c r="T141" s="13">
        <v>65000</v>
      </c>
      <c r="U141" s="23">
        <v>43831</v>
      </c>
      <c r="V141" s="23">
        <v>44196</v>
      </c>
      <c r="W141" s="13">
        <v>65000</v>
      </c>
    </row>
    <row r="142" spans="1:23" ht="75" x14ac:dyDescent="0.25">
      <c r="A142" s="24" t="s">
        <v>486</v>
      </c>
      <c r="B142" s="21">
        <v>80204250585</v>
      </c>
      <c r="C142" s="22" t="s">
        <v>141</v>
      </c>
      <c r="D142" s="27" t="s">
        <v>487</v>
      </c>
      <c r="E142" s="22" t="s">
        <v>54</v>
      </c>
      <c r="Q142" s="21" t="s">
        <v>488</v>
      </c>
      <c r="S142" s="27" t="s">
        <v>489</v>
      </c>
      <c r="T142" s="13">
        <v>18000</v>
      </c>
      <c r="U142" s="23">
        <v>43831</v>
      </c>
      <c r="V142" s="23">
        <v>44196</v>
      </c>
      <c r="W142" s="13">
        <v>10591.3</v>
      </c>
    </row>
    <row r="143" spans="1:23" ht="75" x14ac:dyDescent="0.25">
      <c r="A143" s="26" t="s">
        <v>490</v>
      </c>
      <c r="B143" s="21">
        <v>80204250585</v>
      </c>
      <c r="C143" s="22" t="s">
        <v>141</v>
      </c>
      <c r="D143" s="27" t="s">
        <v>491</v>
      </c>
      <c r="E143" s="22" t="s">
        <v>54</v>
      </c>
      <c r="F143" s="22"/>
      <c r="G143" s="22"/>
      <c r="H143" s="22"/>
      <c r="I143" s="22"/>
      <c r="K143" s="22"/>
      <c r="L143" s="22"/>
      <c r="M143" s="22"/>
      <c r="N143" s="21"/>
      <c r="O143" s="21"/>
      <c r="Q143" s="21" t="s">
        <v>492</v>
      </c>
      <c r="S143" s="27" t="s">
        <v>493</v>
      </c>
      <c r="T143" s="13">
        <v>287676</v>
      </c>
      <c r="U143" s="23">
        <v>43831</v>
      </c>
      <c r="V143" s="23">
        <v>44196</v>
      </c>
      <c r="W143" s="13">
        <v>287684.99</v>
      </c>
    </row>
    <row r="144" spans="1:23" ht="60" x14ac:dyDescent="0.25">
      <c r="A144" s="24" t="s">
        <v>494</v>
      </c>
      <c r="B144" s="21">
        <v>80204250585</v>
      </c>
      <c r="C144" s="22" t="s">
        <v>141</v>
      </c>
      <c r="D144" s="27" t="s">
        <v>495</v>
      </c>
      <c r="E144" s="22" t="s">
        <v>54</v>
      </c>
      <c r="S144" s="27" t="s">
        <v>364</v>
      </c>
      <c r="T144" s="13">
        <v>130272.07</v>
      </c>
      <c r="U144" s="23">
        <v>43861</v>
      </c>
      <c r="V144" s="23">
        <v>44612</v>
      </c>
      <c r="W144" s="13">
        <v>174627.19</v>
      </c>
    </row>
    <row r="145" spans="1:23" ht="75" x14ac:dyDescent="0.25">
      <c r="A145" s="24" t="s">
        <v>496</v>
      </c>
      <c r="B145" s="21">
        <v>80204250585</v>
      </c>
      <c r="C145" s="22" t="s">
        <v>141</v>
      </c>
      <c r="D145" s="22" t="s">
        <v>497</v>
      </c>
      <c r="E145" s="22" t="s">
        <v>108</v>
      </c>
      <c r="F145" s="22"/>
      <c r="G145" s="22"/>
      <c r="H145" s="22"/>
      <c r="I145" s="22"/>
      <c r="K145" s="22"/>
      <c r="L145" s="22"/>
      <c r="M145" s="22"/>
      <c r="N145" s="21"/>
      <c r="O145" s="21"/>
      <c r="P145" s="22"/>
      <c r="Q145" s="21" t="s">
        <v>498</v>
      </c>
      <c r="R145" s="21"/>
      <c r="S145" s="22" t="s">
        <v>499</v>
      </c>
      <c r="T145" s="13">
        <v>2650</v>
      </c>
      <c r="W145" s="13">
        <v>0</v>
      </c>
    </row>
    <row r="146" spans="1:23" ht="225" x14ac:dyDescent="0.25">
      <c r="A146" s="26" t="s">
        <v>500</v>
      </c>
      <c r="B146" s="21" t="s">
        <v>468</v>
      </c>
      <c r="C146" s="22" t="s">
        <v>48</v>
      </c>
      <c r="D146" s="22" t="s">
        <v>501</v>
      </c>
      <c r="E146" s="22" t="s">
        <v>50</v>
      </c>
      <c r="F146" s="22"/>
      <c r="G146" s="22"/>
      <c r="H146" s="22"/>
      <c r="I146" s="22"/>
      <c r="J146" s="22" t="s">
        <v>502</v>
      </c>
      <c r="K146" s="22"/>
      <c r="L146" s="27" t="s">
        <v>503</v>
      </c>
      <c r="M146" s="22"/>
      <c r="N146" s="21"/>
      <c r="O146" s="21"/>
      <c r="P146" s="22"/>
      <c r="Q146" s="21" t="s">
        <v>502</v>
      </c>
      <c r="R146" s="21"/>
      <c r="S146" s="22" t="s">
        <v>503</v>
      </c>
      <c r="T146" s="13">
        <v>11148.96</v>
      </c>
      <c r="U146" s="23">
        <v>43961</v>
      </c>
      <c r="V146" s="23">
        <v>45421</v>
      </c>
      <c r="W146" s="13">
        <f>4218.95+0.01+223.39+9.06+223.39+9.06+223.39+9.06+223.39+9.06+9.06+223.39+11.05+223.39+223.39+11.05+223.39+11.05+223.39+11.05+223.39+11.11+223.39+9.55+223.39+9.06+698.83+698.83</f>
        <v>8416.5200000000077</v>
      </c>
    </row>
    <row r="147" spans="1:23" ht="105" x14ac:dyDescent="0.25">
      <c r="A147" s="24" t="s">
        <v>504</v>
      </c>
      <c r="B147" s="21">
        <v>80204250585</v>
      </c>
      <c r="C147" s="22" t="s">
        <v>141</v>
      </c>
      <c r="D147" s="22" t="s">
        <v>505</v>
      </c>
      <c r="E147" s="22" t="s">
        <v>108</v>
      </c>
      <c r="F147" s="22"/>
      <c r="G147" s="22"/>
      <c r="H147" s="22"/>
      <c r="I147" s="22"/>
      <c r="K147" s="22"/>
      <c r="L147" s="22"/>
      <c r="M147" s="22"/>
      <c r="N147" s="21"/>
      <c r="O147" s="21"/>
      <c r="P147" s="22"/>
      <c r="Q147" s="21" t="s">
        <v>506</v>
      </c>
      <c r="R147" s="21"/>
      <c r="S147" s="22" t="s">
        <v>507</v>
      </c>
      <c r="T147" s="13">
        <v>2880</v>
      </c>
      <c r="U147" s="23">
        <v>43891</v>
      </c>
      <c r="V147" s="23">
        <v>44985</v>
      </c>
      <c r="W147" s="13">
        <f>1370.37+258-13.52+253.44+272.2-18.76-18.76+272.2</f>
        <v>2375.1699999999992</v>
      </c>
    </row>
    <row r="148" spans="1:23" ht="105" x14ac:dyDescent="0.25">
      <c r="A148" s="24" t="s">
        <v>508</v>
      </c>
      <c r="B148" s="21">
        <v>80204250585</v>
      </c>
      <c r="C148" s="22" t="s">
        <v>141</v>
      </c>
      <c r="D148" s="27" t="s">
        <v>509</v>
      </c>
      <c r="E148" s="22" t="s">
        <v>108</v>
      </c>
      <c r="F148" s="22"/>
      <c r="G148" s="22"/>
      <c r="H148" s="22"/>
      <c r="I148" s="22"/>
      <c r="K148" s="22"/>
      <c r="L148" s="22"/>
      <c r="M148" s="22"/>
      <c r="N148" s="21"/>
      <c r="O148" s="21"/>
      <c r="P148" s="22"/>
      <c r="Q148" s="21" t="s">
        <v>510</v>
      </c>
      <c r="R148" s="21"/>
      <c r="S148" s="22" t="s">
        <v>511</v>
      </c>
      <c r="T148" s="13">
        <v>1900</v>
      </c>
      <c r="U148" s="23">
        <v>43889</v>
      </c>
      <c r="V148" s="23">
        <v>43921</v>
      </c>
      <c r="W148" s="13">
        <v>1900</v>
      </c>
    </row>
    <row r="149" spans="1:23" ht="75" x14ac:dyDescent="0.25">
      <c r="A149" s="26" t="s">
        <v>512</v>
      </c>
      <c r="B149" s="21">
        <v>80204250585</v>
      </c>
      <c r="C149" s="22" t="s">
        <v>141</v>
      </c>
      <c r="D149" s="27" t="s">
        <v>513</v>
      </c>
      <c r="E149" s="22" t="s">
        <v>54</v>
      </c>
      <c r="F149" s="22"/>
      <c r="G149" s="22"/>
      <c r="H149" s="22"/>
      <c r="I149" s="22"/>
      <c r="K149" s="22"/>
      <c r="L149" s="22"/>
      <c r="M149" s="22"/>
      <c r="N149" s="21"/>
      <c r="O149" s="21"/>
      <c r="P149" s="22"/>
      <c r="Q149" s="21" t="s">
        <v>514</v>
      </c>
      <c r="R149" s="21"/>
      <c r="S149" s="22" t="s">
        <v>515</v>
      </c>
      <c r="T149" s="13">
        <v>798673.82</v>
      </c>
      <c r="U149" s="23">
        <v>43654</v>
      </c>
      <c r="V149" s="23">
        <v>44019</v>
      </c>
      <c r="W149" s="13">
        <v>776874.5</v>
      </c>
    </row>
    <row r="150" spans="1:23" ht="90" x14ac:dyDescent="0.25">
      <c r="A150" s="24">
        <v>8169944312</v>
      </c>
      <c r="B150" s="16">
        <v>80204250585</v>
      </c>
      <c r="C150" s="27" t="s">
        <v>141</v>
      </c>
      <c r="D150" s="27" t="s">
        <v>516</v>
      </c>
      <c r="E150" s="22" t="s">
        <v>50</v>
      </c>
      <c r="Q150" s="32" t="s">
        <v>1579</v>
      </c>
      <c r="S150" s="27" t="s">
        <v>517</v>
      </c>
      <c r="T150" s="13">
        <v>159051</v>
      </c>
      <c r="U150" s="23">
        <v>43862</v>
      </c>
      <c r="V150" s="23">
        <v>43890</v>
      </c>
      <c r="W150" s="13">
        <v>0</v>
      </c>
    </row>
    <row r="151" spans="1:23" ht="90" x14ac:dyDescent="0.25">
      <c r="A151" s="26" t="s">
        <v>518</v>
      </c>
      <c r="B151" s="21">
        <v>80204250585</v>
      </c>
      <c r="C151" s="22" t="s">
        <v>141</v>
      </c>
      <c r="D151" s="27" t="s">
        <v>519</v>
      </c>
      <c r="E151" s="22" t="s">
        <v>50</v>
      </c>
      <c r="F151" s="22"/>
      <c r="G151" s="22"/>
      <c r="H151" s="22"/>
      <c r="I151" s="22"/>
      <c r="K151" s="22"/>
      <c r="L151" s="22"/>
      <c r="M151" s="22"/>
      <c r="N151" s="21"/>
      <c r="O151" s="21"/>
      <c r="P151" s="22"/>
      <c r="Q151" s="21" t="s">
        <v>371</v>
      </c>
      <c r="R151" s="21"/>
      <c r="S151" s="22" t="s">
        <v>372</v>
      </c>
      <c r="T151" s="13">
        <v>253121</v>
      </c>
      <c r="U151" s="23">
        <v>43894</v>
      </c>
      <c r="V151" s="23">
        <v>45719</v>
      </c>
      <c r="W151" s="13">
        <v>0</v>
      </c>
    </row>
    <row r="152" spans="1:23" ht="30" x14ac:dyDescent="0.25">
      <c r="A152" s="24" t="s">
        <v>520</v>
      </c>
      <c r="B152" s="21">
        <v>80204250585</v>
      </c>
      <c r="C152" s="22" t="s">
        <v>141</v>
      </c>
      <c r="D152" s="27" t="s">
        <v>521</v>
      </c>
      <c r="E152" s="22" t="s">
        <v>108</v>
      </c>
      <c r="F152" s="22"/>
      <c r="G152" s="22"/>
      <c r="H152" s="22"/>
      <c r="I152" s="22"/>
      <c r="K152" s="22"/>
      <c r="L152" s="22"/>
      <c r="M152" s="22"/>
      <c r="N152" s="21"/>
      <c r="O152" s="21"/>
      <c r="P152" s="22"/>
      <c r="Q152" s="21" t="s">
        <v>522</v>
      </c>
      <c r="R152" s="21"/>
      <c r="S152" s="27" t="s">
        <v>523</v>
      </c>
      <c r="T152" s="13">
        <v>207.1</v>
      </c>
      <c r="U152" s="23">
        <v>43917</v>
      </c>
      <c r="V152" s="23">
        <v>43917</v>
      </c>
      <c r="W152" s="13">
        <v>207.1</v>
      </c>
    </row>
    <row r="153" spans="1:23" ht="30" x14ac:dyDescent="0.25">
      <c r="A153" s="24" t="s">
        <v>524</v>
      </c>
      <c r="B153" s="21">
        <v>80204250585</v>
      </c>
      <c r="C153" s="22" t="s">
        <v>141</v>
      </c>
      <c r="D153" s="27" t="s">
        <v>525</v>
      </c>
      <c r="E153" s="22" t="s">
        <v>108</v>
      </c>
      <c r="F153" s="22"/>
      <c r="G153" s="22"/>
      <c r="H153" s="22"/>
      <c r="I153" s="22"/>
      <c r="K153" s="22"/>
      <c r="L153" s="22"/>
      <c r="M153" s="22"/>
      <c r="N153" s="21"/>
      <c r="O153" s="21"/>
      <c r="Q153" s="21" t="s">
        <v>526</v>
      </c>
      <c r="R153" s="21"/>
      <c r="S153" s="22" t="s">
        <v>527</v>
      </c>
      <c r="T153" s="13">
        <v>476.7</v>
      </c>
      <c r="U153" s="23">
        <v>43839</v>
      </c>
      <c r="V153" s="23">
        <v>43839</v>
      </c>
      <c r="W153" s="13">
        <v>476.7</v>
      </c>
    </row>
    <row r="154" spans="1:23" ht="90" x14ac:dyDescent="0.25">
      <c r="A154" s="24" t="s">
        <v>528</v>
      </c>
      <c r="B154" s="21">
        <v>80204250585</v>
      </c>
      <c r="C154" s="22" t="s">
        <v>141</v>
      </c>
      <c r="D154" s="27" t="s">
        <v>529</v>
      </c>
      <c r="E154" s="22" t="s">
        <v>108</v>
      </c>
      <c r="S154" s="27" t="s">
        <v>530</v>
      </c>
      <c r="T154" s="13">
        <v>3888.88</v>
      </c>
      <c r="U154" s="23">
        <v>43915</v>
      </c>
      <c r="V154" s="23">
        <v>44675</v>
      </c>
      <c r="W154" s="13">
        <v>0</v>
      </c>
    </row>
    <row r="155" spans="1:23" ht="105" x14ac:dyDescent="0.25">
      <c r="A155" s="24" t="s">
        <v>531</v>
      </c>
      <c r="B155" s="21">
        <v>80204250585</v>
      </c>
      <c r="C155" s="22" t="s">
        <v>48</v>
      </c>
      <c r="D155" s="27" t="s">
        <v>532</v>
      </c>
      <c r="E155" s="22" t="s">
        <v>108</v>
      </c>
      <c r="J155" s="22">
        <v>80213750583</v>
      </c>
      <c r="L155" s="27" t="s">
        <v>533</v>
      </c>
      <c r="Q155" s="21">
        <v>80213750583</v>
      </c>
      <c r="S155" s="27" t="s">
        <v>533</v>
      </c>
      <c r="T155" s="13">
        <v>38500</v>
      </c>
      <c r="U155" s="23">
        <v>43831</v>
      </c>
      <c r="V155" s="23">
        <v>44196</v>
      </c>
      <c r="W155" s="13">
        <v>24900</v>
      </c>
    </row>
    <row r="156" spans="1:23" ht="90" x14ac:dyDescent="0.25">
      <c r="A156" s="24" t="s">
        <v>534</v>
      </c>
      <c r="B156" s="21" t="s">
        <v>468</v>
      </c>
      <c r="C156" s="22" t="s">
        <v>48</v>
      </c>
      <c r="D156" s="27" t="s">
        <v>535</v>
      </c>
      <c r="E156" s="22" t="s">
        <v>108</v>
      </c>
      <c r="I156" s="22"/>
      <c r="J156" s="22" t="s">
        <v>536</v>
      </c>
      <c r="L156" s="27" t="s">
        <v>537</v>
      </c>
      <c r="N156" s="21"/>
      <c r="Q156" s="21" t="s">
        <v>536</v>
      </c>
      <c r="R156" s="25"/>
      <c r="S156" s="27" t="s">
        <v>537</v>
      </c>
      <c r="T156" s="13">
        <v>18192</v>
      </c>
      <c r="U156" s="23">
        <v>43831</v>
      </c>
      <c r="V156" s="23">
        <v>44926</v>
      </c>
      <c r="W156" s="13">
        <f>10581+1416+1416+1416+1416</f>
        <v>16245</v>
      </c>
    </row>
    <row r="157" spans="1:23" ht="150" x14ac:dyDescent="0.25">
      <c r="A157" s="26" t="s">
        <v>539</v>
      </c>
      <c r="B157" s="21" t="s">
        <v>468</v>
      </c>
      <c r="C157" s="22" t="s">
        <v>48</v>
      </c>
      <c r="D157" s="22" t="s">
        <v>540</v>
      </c>
      <c r="E157" s="22" t="s">
        <v>50</v>
      </c>
      <c r="F157" s="22"/>
      <c r="G157" s="22"/>
      <c r="H157" s="22"/>
      <c r="I157" s="22"/>
      <c r="J157" s="22" t="s">
        <v>59</v>
      </c>
      <c r="K157" s="22"/>
      <c r="L157" s="22" t="s">
        <v>60</v>
      </c>
      <c r="M157" s="22"/>
      <c r="N157" s="21"/>
      <c r="O157" s="21"/>
      <c r="P157" s="22"/>
      <c r="Q157" s="21" t="s">
        <v>59</v>
      </c>
      <c r="R157" s="21"/>
      <c r="S157" s="22" t="s">
        <v>60</v>
      </c>
      <c r="T157" s="13">
        <v>198660</v>
      </c>
      <c r="U157" s="23">
        <v>43952</v>
      </c>
      <c r="V157" s="23">
        <v>45777</v>
      </c>
      <c r="W157" s="13">
        <f>58935.8+9933+9933+9933+9933+9933+9933</f>
        <v>118533.8</v>
      </c>
    </row>
    <row r="158" spans="1:23" ht="60" x14ac:dyDescent="0.25">
      <c r="A158" s="26" t="s">
        <v>541</v>
      </c>
      <c r="B158" s="21" t="s">
        <v>468</v>
      </c>
      <c r="C158" s="22" t="s">
        <v>48</v>
      </c>
      <c r="D158" s="22" t="s">
        <v>542</v>
      </c>
      <c r="E158" s="22" t="s">
        <v>54</v>
      </c>
      <c r="F158" s="22"/>
      <c r="G158" s="22"/>
      <c r="H158" s="22"/>
      <c r="I158" s="22"/>
      <c r="J158" s="22" t="s">
        <v>543</v>
      </c>
      <c r="K158" s="22"/>
      <c r="L158" s="22" t="s">
        <v>544</v>
      </c>
      <c r="M158" s="22"/>
      <c r="N158" s="21"/>
      <c r="O158" s="21"/>
      <c r="P158" s="22"/>
      <c r="Q158" s="21" t="s">
        <v>543</v>
      </c>
      <c r="R158" s="21"/>
      <c r="S158" s="22" t="s">
        <v>544</v>
      </c>
      <c r="T158" s="13">
        <v>4680</v>
      </c>
      <c r="U158" s="23">
        <v>43937</v>
      </c>
      <c r="V158" s="23">
        <v>44301</v>
      </c>
      <c r="W158" s="13">
        <v>4680</v>
      </c>
    </row>
    <row r="159" spans="1:23" ht="150" x14ac:dyDescent="0.25">
      <c r="A159" s="26" t="s">
        <v>545</v>
      </c>
      <c r="B159" s="21" t="s">
        <v>468</v>
      </c>
      <c r="C159" s="22" t="s">
        <v>48</v>
      </c>
      <c r="D159" s="22" t="s">
        <v>546</v>
      </c>
      <c r="E159" s="22" t="s">
        <v>54</v>
      </c>
      <c r="F159" s="22"/>
      <c r="G159" s="22"/>
      <c r="H159" s="22"/>
      <c r="I159" s="22"/>
      <c r="J159" s="22" t="s">
        <v>547</v>
      </c>
      <c r="K159" s="22"/>
      <c r="L159" s="22" t="s">
        <v>548</v>
      </c>
      <c r="M159" s="22"/>
      <c r="N159" s="21"/>
      <c r="O159" s="21"/>
      <c r="P159" s="22"/>
      <c r="Q159" s="21" t="s">
        <v>549</v>
      </c>
      <c r="R159" s="21"/>
      <c r="S159" s="22" t="s">
        <v>550</v>
      </c>
      <c r="T159" s="13">
        <v>32640</v>
      </c>
      <c r="U159" s="23">
        <v>44005</v>
      </c>
      <c r="V159" s="23">
        <v>45465</v>
      </c>
      <c r="W159" s="13">
        <f>10296.94+691.3*3+691.3*2+691.3*4+18.3*2+7.5+82.5+691.3*3+2156.41+2081.41</f>
        <v>22956.959999999999</v>
      </c>
    </row>
    <row r="160" spans="1:23" ht="135" x14ac:dyDescent="0.25">
      <c r="A160" s="24" t="s">
        <v>551</v>
      </c>
      <c r="B160" s="21">
        <v>80204250585</v>
      </c>
      <c r="C160" s="22" t="s">
        <v>48</v>
      </c>
      <c r="D160" s="22" t="s">
        <v>552</v>
      </c>
      <c r="E160" s="22" t="s">
        <v>108</v>
      </c>
      <c r="H160" s="22"/>
      <c r="J160" s="22" t="s">
        <v>109</v>
      </c>
      <c r="K160" s="22"/>
      <c r="L160" s="22" t="s">
        <v>110</v>
      </c>
      <c r="M160" s="22"/>
      <c r="Q160" s="21" t="s">
        <v>109</v>
      </c>
      <c r="S160" s="22" t="s">
        <v>110</v>
      </c>
      <c r="T160" s="13">
        <v>19895</v>
      </c>
      <c r="U160" s="23">
        <v>43952</v>
      </c>
      <c r="V160" s="23">
        <v>44135</v>
      </c>
      <c r="W160" s="13">
        <v>5955</v>
      </c>
    </row>
    <row r="161" spans="1:23" ht="120" x14ac:dyDescent="0.25">
      <c r="A161" s="26" t="s">
        <v>553</v>
      </c>
      <c r="B161" s="21">
        <v>80204250585</v>
      </c>
      <c r="C161" s="22" t="s">
        <v>48</v>
      </c>
      <c r="D161" s="22" t="s">
        <v>554</v>
      </c>
      <c r="E161" s="22" t="s">
        <v>108</v>
      </c>
      <c r="H161" s="22"/>
      <c r="J161" s="22" t="s">
        <v>555</v>
      </c>
      <c r="K161" s="22"/>
      <c r="L161" s="22" t="s">
        <v>556</v>
      </c>
      <c r="M161" s="22"/>
      <c r="Q161" s="21" t="s">
        <v>555</v>
      </c>
      <c r="S161" s="22" t="s">
        <v>556</v>
      </c>
      <c r="T161" s="13">
        <v>10404</v>
      </c>
      <c r="U161" s="23">
        <v>43952</v>
      </c>
      <c r="V161" s="23">
        <v>44135</v>
      </c>
      <c r="W161" s="13">
        <v>1844.26</v>
      </c>
    </row>
    <row r="162" spans="1:23" ht="165" x14ac:dyDescent="0.25">
      <c r="A162" s="24" t="s">
        <v>558</v>
      </c>
      <c r="B162" s="16">
        <v>80204250585</v>
      </c>
      <c r="C162" s="27" t="s">
        <v>141</v>
      </c>
      <c r="D162" s="27" t="s">
        <v>559</v>
      </c>
      <c r="E162" s="22" t="s">
        <v>108</v>
      </c>
      <c r="Q162" s="32" t="s">
        <v>1578</v>
      </c>
      <c r="S162" s="27" t="s">
        <v>560</v>
      </c>
      <c r="T162" s="13">
        <v>1967.19</v>
      </c>
      <c r="U162" s="23">
        <v>43936</v>
      </c>
      <c r="V162" s="23">
        <v>43936</v>
      </c>
      <c r="W162" s="13">
        <v>0</v>
      </c>
    </row>
    <row r="163" spans="1:23" ht="165" x14ac:dyDescent="0.25">
      <c r="A163" s="24" t="s">
        <v>561</v>
      </c>
      <c r="B163" s="16">
        <v>80204250585</v>
      </c>
      <c r="C163" s="27" t="s">
        <v>141</v>
      </c>
      <c r="D163" s="27" t="s">
        <v>562</v>
      </c>
      <c r="E163" s="22" t="s">
        <v>108</v>
      </c>
      <c r="Q163" s="21">
        <v>97103880585</v>
      </c>
      <c r="S163" s="27" t="s">
        <v>563</v>
      </c>
      <c r="T163" s="13">
        <v>19420</v>
      </c>
      <c r="U163" s="23">
        <v>43958</v>
      </c>
      <c r="V163" s="23">
        <v>44322</v>
      </c>
      <c r="W163" s="13">
        <v>8551.130000000001</v>
      </c>
    </row>
    <row r="164" spans="1:23" ht="135" x14ac:dyDescent="0.25">
      <c r="A164" s="24" t="s">
        <v>564</v>
      </c>
      <c r="B164" s="16">
        <v>80204250585</v>
      </c>
      <c r="C164" s="27" t="s">
        <v>141</v>
      </c>
      <c r="D164" s="27" t="s">
        <v>565</v>
      </c>
      <c r="E164" s="22" t="s">
        <v>50</v>
      </c>
      <c r="J164" s="21" t="s">
        <v>1560</v>
      </c>
      <c r="L164" s="27" t="s">
        <v>566</v>
      </c>
      <c r="Q164" s="21" t="s">
        <v>1560</v>
      </c>
      <c r="S164" s="27" t="s">
        <v>169</v>
      </c>
      <c r="T164" s="13">
        <v>14039.4</v>
      </c>
      <c r="U164" s="23">
        <v>43952</v>
      </c>
      <c r="V164" s="23">
        <v>45777</v>
      </c>
      <c r="W164" s="13">
        <f>4211.82+701.97+701.97+701.97+701.97+701.97+701.97</f>
        <v>8423.6400000000012</v>
      </c>
    </row>
    <row r="165" spans="1:23" ht="75" x14ac:dyDescent="0.25">
      <c r="A165" s="24" t="s">
        <v>567</v>
      </c>
      <c r="B165" s="16">
        <v>80204250585</v>
      </c>
      <c r="C165" s="27" t="s">
        <v>141</v>
      </c>
      <c r="D165" s="27" t="s">
        <v>568</v>
      </c>
      <c r="E165" s="22" t="s">
        <v>108</v>
      </c>
      <c r="Q165" s="21">
        <v>10169951000</v>
      </c>
      <c r="S165" s="27" t="s">
        <v>569</v>
      </c>
      <c r="T165" s="13">
        <v>172155.93</v>
      </c>
      <c r="U165" s="23">
        <v>43922</v>
      </c>
      <c r="V165" s="23">
        <v>44165</v>
      </c>
      <c r="W165" s="13">
        <v>67426.820000000007</v>
      </c>
    </row>
    <row r="166" spans="1:23" ht="105" x14ac:dyDescent="0.25">
      <c r="A166" s="24" t="s">
        <v>570</v>
      </c>
      <c r="B166" s="16">
        <v>80204250585</v>
      </c>
      <c r="C166" s="27" t="s">
        <v>141</v>
      </c>
      <c r="D166" s="27" t="s">
        <v>571</v>
      </c>
      <c r="E166" s="22" t="s">
        <v>108</v>
      </c>
      <c r="Q166" s="22" t="s">
        <v>1593</v>
      </c>
      <c r="S166" s="27" t="s">
        <v>572</v>
      </c>
      <c r="T166" s="13">
        <v>19785.22</v>
      </c>
      <c r="U166" s="23">
        <v>43978</v>
      </c>
      <c r="V166" s="23">
        <v>44006</v>
      </c>
      <c r="W166" s="13">
        <v>0</v>
      </c>
    </row>
    <row r="167" spans="1:23" ht="120" x14ac:dyDescent="0.25">
      <c r="A167" s="24" t="s">
        <v>573</v>
      </c>
      <c r="B167" s="16">
        <v>80204250585</v>
      </c>
      <c r="C167" s="27" t="s">
        <v>141</v>
      </c>
      <c r="D167" s="27" t="s">
        <v>574</v>
      </c>
      <c r="E167" s="22" t="s">
        <v>50</v>
      </c>
      <c r="Q167" s="21" t="s">
        <v>402</v>
      </c>
      <c r="S167" s="27" t="s">
        <v>403</v>
      </c>
      <c r="T167" s="13">
        <v>670000</v>
      </c>
      <c r="U167" s="23">
        <v>43952</v>
      </c>
      <c r="V167" s="23">
        <v>44316</v>
      </c>
      <c r="W167" s="13">
        <v>475933.49</v>
      </c>
    </row>
    <row r="168" spans="1:23" ht="60" x14ac:dyDescent="0.25">
      <c r="A168" s="24" t="s">
        <v>575</v>
      </c>
      <c r="B168" s="16">
        <v>80204250585</v>
      </c>
      <c r="C168" s="27" t="s">
        <v>141</v>
      </c>
      <c r="D168" s="27" t="s">
        <v>576</v>
      </c>
      <c r="E168" s="22" t="s">
        <v>108</v>
      </c>
      <c r="S168" s="27" t="s">
        <v>577</v>
      </c>
      <c r="T168" s="13">
        <v>18639</v>
      </c>
      <c r="U168" s="23">
        <v>43990</v>
      </c>
      <c r="V168" s="23">
        <v>44355</v>
      </c>
      <c r="W168" s="13">
        <v>0</v>
      </c>
    </row>
    <row r="169" spans="1:23" ht="60" x14ac:dyDescent="0.25">
      <c r="A169" s="24" t="s">
        <v>578</v>
      </c>
      <c r="B169" s="21">
        <v>80204250585</v>
      </c>
      <c r="C169" s="22" t="s">
        <v>48</v>
      </c>
      <c r="D169" s="27" t="s">
        <v>579</v>
      </c>
      <c r="E169" s="22" t="s">
        <v>54</v>
      </c>
      <c r="J169" s="22" t="s">
        <v>580</v>
      </c>
      <c r="L169" s="27" t="s">
        <v>581</v>
      </c>
      <c r="Q169" s="21" t="s">
        <v>580</v>
      </c>
      <c r="S169" s="27" t="s">
        <v>581</v>
      </c>
      <c r="T169" s="13">
        <v>720000</v>
      </c>
      <c r="U169" s="23">
        <v>43956</v>
      </c>
      <c r="V169" s="23">
        <v>45046</v>
      </c>
      <c r="W169" s="13">
        <f>597900+15200</f>
        <v>613100</v>
      </c>
    </row>
    <row r="170" spans="1:23" ht="135" x14ac:dyDescent="0.25">
      <c r="A170" s="26" t="s">
        <v>582</v>
      </c>
      <c r="B170" s="21">
        <v>80204250585</v>
      </c>
      <c r="C170" s="22" t="s">
        <v>48</v>
      </c>
      <c r="D170" s="22" t="s">
        <v>583</v>
      </c>
      <c r="E170" s="22" t="s">
        <v>83</v>
      </c>
      <c r="F170" s="22"/>
      <c r="G170" s="22"/>
      <c r="H170" s="22"/>
      <c r="I170" s="22"/>
      <c r="K170" s="22"/>
      <c r="L170" s="22"/>
      <c r="M170" s="22"/>
      <c r="N170" s="21"/>
      <c r="O170" s="21"/>
      <c r="P170" s="22"/>
      <c r="Q170" s="21" t="s">
        <v>584</v>
      </c>
      <c r="R170" s="21"/>
      <c r="S170" s="22" t="s">
        <v>111</v>
      </c>
      <c r="T170" s="13">
        <v>160225</v>
      </c>
      <c r="U170" s="23">
        <v>44221</v>
      </c>
      <c r="V170" s="23">
        <v>44950</v>
      </c>
      <c r="W170" s="13">
        <v>200</v>
      </c>
    </row>
    <row r="171" spans="1:23" ht="90" x14ac:dyDescent="0.25">
      <c r="A171" s="26" t="s">
        <v>585</v>
      </c>
      <c r="B171" s="21">
        <v>80204250585</v>
      </c>
      <c r="C171" s="22" t="s">
        <v>48</v>
      </c>
      <c r="D171" s="22" t="s">
        <v>586</v>
      </c>
      <c r="E171" s="22" t="s">
        <v>50</v>
      </c>
      <c r="F171" s="22"/>
      <c r="G171" s="22"/>
      <c r="H171" s="22"/>
      <c r="I171" s="22"/>
      <c r="K171" s="22"/>
      <c r="L171" s="22"/>
      <c r="M171" s="22"/>
      <c r="N171" s="21"/>
      <c r="O171" s="21"/>
      <c r="P171" s="22"/>
      <c r="R171" s="21"/>
      <c r="S171" s="22" t="s">
        <v>587</v>
      </c>
      <c r="T171" s="13">
        <v>3161.55</v>
      </c>
      <c r="U171" s="23">
        <v>43978</v>
      </c>
      <c r="V171" s="23">
        <v>44043</v>
      </c>
      <c r="W171" s="13">
        <v>3026.65</v>
      </c>
    </row>
    <row r="172" spans="1:23" ht="409.5" x14ac:dyDescent="0.25">
      <c r="A172" s="24" t="s">
        <v>588</v>
      </c>
      <c r="B172" s="21">
        <v>80204250585</v>
      </c>
      <c r="C172" s="22" t="s">
        <v>48</v>
      </c>
      <c r="D172" s="27" t="s">
        <v>589</v>
      </c>
      <c r="E172" s="27" t="s">
        <v>164</v>
      </c>
      <c r="J172" s="22" t="s">
        <v>590</v>
      </c>
      <c r="L172" s="22" t="s">
        <v>591</v>
      </c>
      <c r="Q172" s="21" t="s">
        <v>592</v>
      </c>
      <c r="S172" s="27" t="s">
        <v>593</v>
      </c>
      <c r="T172" s="13">
        <v>106608.33</v>
      </c>
      <c r="U172" s="23">
        <v>44055</v>
      </c>
      <c r="V172" s="23">
        <v>44784</v>
      </c>
      <c r="W172" s="13">
        <f>19402.5+1375+600-300+2425+2000+5652+594+1100+1188+456.25+415.63+265.63+218.75+737.5-218.75-265.63</f>
        <v>35645.879999999997</v>
      </c>
    </row>
    <row r="173" spans="1:23" ht="45" x14ac:dyDescent="0.25">
      <c r="A173" s="26" t="s">
        <v>594</v>
      </c>
      <c r="B173" s="21">
        <v>80204250585</v>
      </c>
      <c r="C173" s="22" t="s">
        <v>48</v>
      </c>
      <c r="D173" s="22" t="s">
        <v>595</v>
      </c>
      <c r="E173" s="22" t="s">
        <v>63</v>
      </c>
      <c r="F173" s="22"/>
      <c r="G173" s="22"/>
      <c r="H173" s="22"/>
      <c r="I173" s="22"/>
      <c r="J173" s="22" t="s">
        <v>596</v>
      </c>
      <c r="K173" s="22"/>
      <c r="L173" s="22" t="s">
        <v>597</v>
      </c>
      <c r="M173" s="22"/>
      <c r="N173" s="21"/>
      <c r="O173" s="21"/>
      <c r="P173" s="22"/>
      <c r="Q173" s="21" t="s">
        <v>598</v>
      </c>
      <c r="R173" s="21"/>
      <c r="S173" s="22" t="s">
        <v>599</v>
      </c>
      <c r="T173" s="13">
        <v>137540</v>
      </c>
      <c r="U173" s="23">
        <v>44092</v>
      </c>
      <c r="V173" s="23">
        <v>44821</v>
      </c>
      <c r="W173" s="13">
        <f>68770+17192.5+17192.5+17192.5</f>
        <v>120347.5</v>
      </c>
    </row>
    <row r="174" spans="1:23" ht="225" x14ac:dyDescent="0.25">
      <c r="A174" s="26" t="s">
        <v>600</v>
      </c>
      <c r="B174" s="21">
        <v>80204250585</v>
      </c>
      <c r="C174" s="22" t="s">
        <v>48</v>
      </c>
      <c r="D174" s="22" t="s">
        <v>601</v>
      </c>
      <c r="E174" s="22" t="s">
        <v>50</v>
      </c>
      <c r="F174" s="22"/>
      <c r="G174" s="22"/>
      <c r="H174" s="22"/>
      <c r="I174" s="22"/>
      <c r="K174" s="22"/>
      <c r="L174" s="22"/>
      <c r="M174" s="22" t="s">
        <v>602</v>
      </c>
      <c r="N174" s="21"/>
      <c r="O174" s="21" t="s">
        <v>603</v>
      </c>
      <c r="P174" s="22" t="s">
        <v>604</v>
      </c>
      <c r="R174" s="21"/>
      <c r="S174" s="22"/>
      <c r="T174" s="13">
        <v>7839100.7300000004</v>
      </c>
      <c r="U174" s="23">
        <v>44020</v>
      </c>
      <c r="V174" s="23">
        <v>46210</v>
      </c>
      <c r="W174" s="13">
        <f>1574386.676+61881.31+1348.74+1817.86+99256.58+4717.22+1817.37+99256.58+908.43+20282+79490.29+1934.61+4111.22+99256.58+81210.11+2658.2+99256.58+1348.74+45358.45+147.2+99256.58+52831.22+1464.84+99256.58+45358.45+1348.74+150967.41+2575.91</f>
        <v>2733504.4760000021</v>
      </c>
    </row>
    <row r="175" spans="1:23" ht="180" x14ac:dyDescent="0.25">
      <c r="A175" s="24" t="s">
        <v>605</v>
      </c>
      <c r="B175" s="21">
        <v>80204250585</v>
      </c>
      <c r="C175" s="22" t="s">
        <v>48</v>
      </c>
      <c r="D175" s="22" t="s">
        <v>606</v>
      </c>
      <c r="E175" s="22" t="s">
        <v>54</v>
      </c>
      <c r="F175" s="22"/>
      <c r="G175" s="22"/>
      <c r="H175" s="22"/>
      <c r="I175" s="22"/>
      <c r="K175" s="22"/>
      <c r="L175" s="22"/>
      <c r="M175" s="22"/>
      <c r="N175" s="21"/>
      <c r="O175" s="21"/>
      <c r="P175" s="22"/>
      <c r="R175" s="21"/>
      <c r="S175" s="27" t="s">
        <v>607</v>
      </c>
      <c r="T175" s="13">
        <v>5000</v>
      </c>
      <c r="U175" s="23">
        <v>44075</v>
      </c>
      <c r="V175" s="23">
        <v>44408</v>
      </c>
      <c r="W175" s="13">
        <f>410-41+1640+410+410+820+410-164</f>
        <v>3895</v>
      </c>
    </row>
    <row r="176" spans="1:23" ht="180" x14ac:dyDescent="0.25">
      <c r="A176" s="24" t="s">
        <v>608</v>
      </c>
      <c r="B176" s="21">
        <v>80204250585</v>
      </c>
      <c r="C176" s="22" t="s">
        <v>48</v>
      </c>
      <c r="D176" s="22" t="s">
        <v>606</v>
      </c>
      <c r="E176" s="22" t="s">
        <v>54</v>
      </c>
      <c r="F176" s="22"/>
      <c r="G176" s="22"/>
      <c r="H176" s="22"/>
      <c r="I176" s="22"/>
      <c r="K176" s="22"/>
      <c r="L176" s="22"/>
      <c r="M176" s="22"/>
      <c r="N176" s="21"/>
      <c r="O176" s="21"/>
      <c r="P176" s="22"/>
      <c r="R176" s="21"/>
      <c r="S176" s="27" t="s">
        <v>609</v>
      </c>
      <c r="T176" s="13">
        <v>39000</v>
      </c>
      <c r="U176" s="23">
        <v>44075</v>
      </c>
      <c r="V176" s="23">
        <v>44408</v>
      </c>
      <c r="W176" s="13">
        <f>410+235+410+410+410+410+235+410+410+120+410+410+410+410+410+410+120+410+410+410+410+410+410+410+410+410+410+410+410+410+410+410+410+235+410+235</f>
        <v>13480</v>
      </c>
    </row>
    <row r="177" spans="1:23" ht="45" x14ac:dyDescent="0.25">
      <c r="A177" s="24" t="s">
        <v>610</v>
      </c>
      <c r="B177" s="21">
        <v>80204250585</v>
      </c>
      <c r="C177" s="22" t="s">
        <v>48</v>
      </c>
      <c r="D177" s="22" t="s">
        <v>611</v>
      </c>
      <c r="E177" s="22" t="s">
        <v>108</v>
      </c>
      <c r="F177" s="22"/>
      <c r="G177" s="22"/>
      <c r="H177" s="22"/>
      <c r="I177" s="22"/>
      <c r="K177" s="22"/>
      <c r="L177" s="22"/>
      <c r="M177" s="22"/>
      <c r="N177" s="21"/>
      <c r="O177" s="21"/>
      <c r="P177" s="22"/>
      <c r="Q177" s="21" t="s">
        <v>251</v>
      </c>
      <c r="R177" s="21"/>
      <c r="S177" s="22" t="s">
        <v>612</v>
      </c>
      <c r="T177" s="13">
        <v>8593</v>
      </c>
      <c r="U177" s="23">
        <v>43922</v>
      </c>
      <c r="V177" s="23">
        <v>44286</v>
      </c>
      <c r="W177" s="13">
        <v>0</v>
      </c>
    </row>
    <row r="178" spans="1:23" ht="45" x14ac:dyDescent="0.25">
      <c r="A178" s="24" t="s">
        <v>613</v>
      </c>
      <c r="B178" s="21">
        <v>80204250585</v>
      </c>
      <c r="C178" s="22" t="s">
        <v>48</v>
      </c>
      <c r="D178" s="22" t="s">
        <v>614</v>
      </c>
      <c r="E178" s="22" t="s">
        <v>108</v>
      </c>
      <c r="F178" s="22"/>
      <c r="G178" s="22"/>
      <c r="H178" s="22"/>
      <c r="I178" s="22"/>
      <c r="K178" s="22"/>
      <c r="L178" s="22"/>
      <c r="M178" s="22"/>
      <c r="N178" s="21"/>
      <c r="O178" s="21"/>
      <c r="P178" s="22"/>
      <c r="Q178" s="21" t="s">
        <v>522</v>
      </c>
      <c r="R178" s="21"/>
      <c r="S178" s="27" t="s">
        <v>523</v>
      </c>
      <c r="T178" s="13">
        <v>35</v>
      </c>
      <c r="U178" s="23">
        <v>43922</v>
      </c>
      <c r="V178" s="23">
        <v>43922</v>
      </c>
      <c r="W178" s="13">
        <v>35</v>
      </c>
    </row>
    <row r="179" spans="1:23" ht="225" x14ac:dyDescent="0.25">
      <c r="A179" s="26" t="s">
        <v>615</v>
      </c>
      <c r="B179" s="21">
        <v>80204250585</v>
      </c>
      <c r="C179" s="22" t="s">
        <v>48</v>
      </c>
      <c r="D179" s="22" t="s">
        <v>616</v>
      </c>
      <c r="E179" s="22" t="s">
        <v>63</v>
      </c>
      <c r="F179" s="22"/>
      <c r="G179" s="22"/>
      <c r="H179" s="22"/>
      <c r="I179" s="22"/>
      <c r="J179" s="22" t="s">
        <v>1563</v>
      </c>
      <c r="K179" s="22"/>
      <c r="L179" s="27" t="s">
        <v>1562</v>
      </c>
      <c r="M179" s="22"/>
      <c r="N179" s="21"/>
      <c r="O179" s="21"/>
      <c r="P179" s="22"/>
      <c r="Q179" s="21" t="s">
        <v>617</v>
      </c>
      <c r="R179" s="21"/>
      <c r="S179" s="22" t="s">
        <v>618</v>
      </c>
      <c r="T179" s="13">
        <v>2447970</v>
      </c>
      <c r="U179" s="23">
        <v>44197</v>
      </c>
      <c r="V179" s="23">
        <v>46022</v>
      </c>
      <c r="W179" s="13">
        <f>767863.29+108469.25+101223.03</f>
        <v>977555.57000000007</v>
      </c>
    </row>
    <row r="180" spans="1:23" ht="120" x14ac:dyDescent="0.25">
      <c r="A180" s="28" t="s">
        <v>619</v>
      </c>
      <c r="B180" s="21">
        <v>80204250585</v>
      </c>
      <c r="C180" s="22" t="s">
        <v>48</v>
      </c>
      <c r="D180" s="22" t="s">
        <v>554</v>
      </c>
      <c r="E180" s="22" t="s">
        <v>108</v>
      </c>
      <c r="H180" s="22"/>
      <c r="J180" s="22" t="s">
        <v>555</v>
      </c>
      <c r="K180" s="22"/>
      <c r="L180" s="22" t="s">
        <v>556</v>
      </c>
      <c r="M180" s="22"/>
      <c r="Q180" s="21" t="s">
        <v>555</v>
      </c>
      <c r="S180" s="22" t="s">
        <v>556</v>
      </c>
      <c r="T180" s="13">
        <v>13567.5</v>
      </c>
      <c r="U180" s="23">
        <v>43770</v>
      </c>
      <c r="V180" s="23">
        <v>43951</v>
      </c>
      <c r="W180" s="13">
        <v>3146.31</v>
      </c>
    </row>
    <row r="181" spans="1:23" ht="150" x14ac:dyDescent="0.25">
      <c r="A181" s="26" t="s">
        <v>620</v>
      </c>
      <c r="B181" s="21">
        <v>80204250585</v>
      </c>
      <c r="C181" s="22" t="s">
        <v>48</v>
      </c>
      <c r="D181" s="22" t="s">
        <v>621</v>
      </c>
      <c r="E181" s="22" t="s">
        <v>108</v>
      </c>
      <c r="F181" s="22"/>
      <c r="G181" s="22"/>
      <c r="H181" s="22"/>
      <c r="I181" s="22"/>
      <c r="K181" s="22"/>
      <c r="L181" s="22"/>
      <c r="M181" s="22"/>
      <c r="N181" s="21"/>
      <c r="O181" s="21"/>
      <c r="P181" s="22"/>
      <c r="Q181" s="21" t="s">
        <v>622</v>
      </c>
      <c r="R181" s="21"/>
      <c r="S181" s="22" t="s">
        <v>623</v>
      </c>
      <c r="T181" s="13">
        <v>540.98</v>
      </c>
      <c r="U181" s="23">
        <v>43972</v>
      </c>
      <c r="V181" s="23">
        <v>43972</v>
      </c>
      <c r="W181" s="13">
        <v>7032.7800000000007</v>
      </c>
    </row>
    <row r="182" spans="1:23" ht="120" x14ac:dyDescent="0.25">
      <c r="A182" s="26" t="s">
        <v>624</v>
      </c>
      <c r="B182" s="21">
        <v>80204250585</v>
      </c>
      <c r="C182" s="22" t="s">
        <v>48</v>
      </c>
      <c r="D182" s="22" t="s">
        <v>625</v>
      </c>
      <c r="E182" s="22" t="s">
        <v>54</v>
      </c>
      <c r="F182" s="22"/>
      <c r="G182" s="22"/>
      <c r="H182" s="22"/>
      <c r="I182" s="22"/>
      <c r="K182" s="22"/>
      <c r="L182" s="22"/>
      <c r="M182" s="22"/>
      <c r="N182" s="21"/>
      <c r="O182" s="21"/>
      <c r="P182" s="22"/>
      <c r="Q182" s="21" t="s">
        <v>626</v>
      </c>
      <c r="R182" s="21"/>
      <c r="S182" s="22" t="s">
        <v>627</v>
      </c>
      <c r="T182" s="13">
        <v>16436.59</v>
      </c>
      <c r="U182" s="23">
        <v>43831</v>
      </c>
      <c r="V182" s="23">
        <v>44196</v>
      </c>
      <c r="W182" s="13">
        <v>20490.919999999998</v>
      </c>
    </row>
    <row r="183" spans="1:23" ht="105" x14ac:dyDescent="0.25">
      <c r="A183" s="28" t="s">
        <v>628</v>
      </c>
      <c r="B183" s="21">
        <v>80204250585</v>
      </c>
      <c r="C183" s="22" t="s">
        <v>48</v>
      </c>
      <c r="D183" s="22" t="s">
        <v>107</v>
      </c>
      <c r="E183" s="22" t="s">
        <v>108</v>
      </c>
      <c r="H183" s="22"/>
      <c r="J183" s="22" t="s">
        <v>109</v>
      </c>
      <c r="K183" s="22"/>
      <c r="L183" s="22" t="s">
        <v>110</v>
      </c>
      <c r="M183" s="22"/>
      <c r="Q183" s="21" t="s">
        <v>109</v>
      </c>
      <c r="S183" s="22" t="s">
        <v>110</v>
      </c>
      <c r="T183" s="13">
        <v>18516.5</v>
      </c>
      <c r="U183" s="23">
        <v>43770</v>
      </c>
      <c r="V183" s="23">
        <v>43951</v>
      </c>
      <c r="W183" s="13">
        <v>3299.37</v>
      </c>
    </row>
    <row r="184" spans="1:23" ht="45" x14ac:dyDescent="0.25">
      <c r="A184" s="26" t="s">
        <v>629</v>
      </c>
      <c r="B184" s="21">
        <v>80204250585</v>
      </c>
      <c r="C184" s="22" t="s">
        <v>48</v>
      </c>
      <c r="D184" s="22" t="s">
        <v>630</v>
      </c>
      <c r="E184" s="22" t="s">
        <v>108</v>
      </c>
      <c r="F184" s="22"/>
      <c r="G184" s="22"/>
      <c r="H184" s="22"/>
      <c r="I184" s="22"/>
      <c r="K184" s="22"/>
      <c r="L184" s="22"/>
      <c r="M184" s="22"/>
      <c r="N184" s="21"/>
      <c r="O184" s="21"/>
      <c r="P184" s="22"/>
      <c r="Q184" s="21" t="s">
        <v>631</v>
      </c>
      <c r="S184" s="22" t="s">
        <v>632</v>
      </c>
      <c r="T184" s="13">
        <v>1780</v>
      </c>
      <c r="U184" s="23">
        <v>43252</v>
      </c>
      <c r="V184" s="23">
        <v>44926</v>
      </c>
      <c r="W184" s="13">
        <f>577.03+1.5</f>
        <v>578.53</v>
      </c>
    </row>
    <row r="185" spans="1:23" ht="45" x14ac:dyDescent="0.25">
      <c r="A185" s="26" t="s">
        <v>633</v>
      </c>
      <c r="B185" s="21">
        <v>80204250585</v>
      </c>
      <c r="C185" s="22" t="s">
        <v>48</v>
      </c>
      <c r="D185" s="27" t="s">
        <v>634</v>
      </c>
      <c r="E185" s="22" t="s">
        <v>108</v>
      </c>
      <c r="F185" s="22"/>
      <c r="G185" s="22"/>
      <c r="H185" s="22"/>
      <c r="I185" s="22"/>
      <c r="K185" s="22"/>
      <c r="L185" s="22"/>
      <c r="M185" s="22"/>
      <c r="N185" s="21"/>
      <c r="O185" s="21"/>
      <c r="P185" s="22"/>
      <c r="R185" s="21"/>
      <c r="S185" s="22" t="s">
        <v>635</v>
      </c>
      <c r="T185" s="13">
        <v>7090.32</v>
      </c>
      <c r="U185" s="23">
        <v>43647</v>
      </c>
      <c r="V185" s="23">
        <v>44316</v>
      </c>
      <c r="W185" s="13">
        <v>16031.49</v>
      </c>
    </row>
    <row r="186" spans="1:23" ht="75" x14ac:dyDescent="0.25">
      <c r="A186" s="26" t="s">
        <v>636</v>
      </c>
      <c r="B186" s="21">
        <v>80204250585</v>
      </c>
      <c r="C186" s="22" t="s">
        <v>141</v>
      </c>
      <c r="D186" s="27" t="s">
        <v>637</v>
      </c>
      <c r="E186" s="22" t="s">
        <v>108</v>
      </c>
      <c r="N186" s="21"/>
      <c r="O186" s="21"/>
      <c r="P186" s="22"/>
      <c r="Q186" s="21" t="s">
        <v>1583</v>
      </c>
      <c r="R186" s="21"/>
      <c r="S186" s="27" t="s">
        <v>638</v>
      </c>
      <c r="T186" s="13">
        <v>42</v>
      </c>
      <c r="U186" s="23">
        <v>44095</v>
      </c>
      <c r="V186" s="23">
        <v>44096</v>
      </c>
      <c r="W186" s="13">
        <v>0</v>
      </c>
    </row>
    <row r="187" spans="1:23" ht="75" x14ac:dyDescent="0.25">
      <c r="A187" s="26" t="s">
        <v>639</v>
      </c>
      <c r="B187" s="21">
        <v>80204250585</v>
      </c>
      <c r="C187" s="22" t="s">
        <v>141</v>
      </c>
      <c r="D187" s="27" t="s">
        <v>640</v>
      </c>
      <c r="E187" s="22" t="s">
        <v>108</v>
      </c>
      <c r="N187" s="21"/>
      <c r="O187" s="21"/>
      <c r="P187" s="22"/>
      <c r="R187" s="21"/>
      <c r="S187" s="27" t="s">
        <v>641</v>
      </c>
      <c r="T187" s="13">
        <v>671.39</v>
      </c>
      <c r="U187" s="23">
        <v>44044</v>
      </c>
      <c r="V187" s="23">
        <v>44408</v>
      </c>
      <c r="W187" s="13">
        <v>0</v>
      </c>
    </row>
    <row r="188" spans="1:23" ht="105" x14ac:dyDescent="0.25">
      <c r="A188" s="26" t="s">
        <v>642</v>
      </c>
      <c r="B188" s="21">
        <v>80204250585</v>
      </c>
      <c r="C188" s="22" t="s">
        <v>141</v>
      </c>
      <c r="D188" s="27" t="s">
        <v>643</v>
      </c>
      <c r="E188" s="22" t="s">
        <v>108</v>
      </c>
      <c r="N188" s="21"/>
      <c r="O188" s="21"/>
      <c r="P188" s="22"/>
      <c r="Q188" s="21" t="s">
        <v>1591</v>
      </c>
      <c r="R188" s="21"/>
      <c r="S188" s="27" t="s">
        <v>644</v>
      </c>
      <c r="T188" s="13">
        <v>400</v>
      </c>
      <c r="U188" s="23">
        <v>44075</v>
      </c>
      <c r="V188" s="23">
        <v>44561</v>
      </c>
      <c r="W188" s="13">
        <v>0</v>
      </c>
    </row>
    <row r="189" spans="1:23" ht="90" x14ac:dyDescent="0.25">
      <c r="A189" s="26" t="s">
        <v>645</v>
      </c>
      <c r="B189" s="21">
        <v>80204250585</v>
      </c>
      <c r="C189" s="22" t="s">
        <v>141</v>
      </c>
      <c r="D189" s="27" t="s">
        <v>646</v>
      </c>
      <c r="E189" s="22" t="s">
        <v>50</v>
      </c>
      <c r="I189" s="22"/>
      <c r="J189" s="22">
        <v>1765930589</v>
      </c>
      <c r="L189" s="27" t="s">
        <v>262</v>
      </c>
      <c r="N189" s="21"/>
      <c r="O189" s="21"/>
      <c r="P189" s="22"/>
      <c r="Q189" s="21" t="s">
        <v>261</v>
      </c>
      <c r="R189" s="21"/>
      <c r="S189" s="27" t="s">
        <v>647</v>
      </c>
      <c r="T189" s="13">
        <v>19600</v>
      </c>
      <c r="U189" s="23">
        <v>44029</v>
      </c>
      <c r="V189" s="23">
        <v>44196</v>
      </c>
      <c r="W189" s="13">
        <v>10003.27</v>
      </c>
    </row>
    <row r="190" spans="1:23" ht="90" x14ac:dyDescent="0.25">
      <c r="A190" s="26" t="s">
        <v>648</v>
      </c>
      <c r="B190" s="21">
        <v>80204250585</v>
      </c>
      <c r="C190" s="22" t="s">
        <v>141</v>
      </c>
      <c r="D190" s="27" t="s">
        <v>649</v>
      </c>
      <c r="E190" s="22" t="s">
        <v>54</v>
      </c>
      <c r="I190" s="22"/>
      <c r="J190" s="22">
        <v>80057930150</v>
      </c>
      <c r="L190" s="27" t="s">
        <v>650</v>
      </c>
      <c r="N190" s="21"/>
      <c r="O190" s="21"/>
      <c r="P190" s="22"/>
      <c r="Q190" s="21">
        <v>80057930150</v>
      </c>
      <c r="R190" s="21"/>
      <c r="S190" s="27" t="s">
        <v>651</v>
      </c>
      <c r="T190" s="13">
        <v>163000</v>
      </c>
      <c r="U190" s="23">
        <v>44048</v>
      </c>
      <c r="V190" s="23">
        <v>44620</v>
      </c>
      <c r="W190" s="13">
        <v>160000</v>
      </c>
    </row>
    <row r="191" spans="1:23" ht="75" x14ac:dyDescent="0.25">
      <c r="A191" s="26" t="s">
        <v>652</v>
      </c>
      <c r="B191" s="21">
        <v>80204250585</v>
      </c>
      <c r="C191" s="22" t="s">
        <v>141</v>
      </c>
      <c r="D191" s="27" t="s">
        <v>653</v>
      </c>
      <c r="E191" s="22" t="s">
        <v>108</v>
      </c>
      <c r="F191" s="22"/>
      <c r="G191" s="22"/>
      <c r="H191" s="22"/>
      <c r="I191" s="22"/>
      <c r="K191" s="22"/>
      <c r="L191" s="22"/>
      <c r="M191" s="22"/>
      <c r="N191" s="21"/>
      <c r="O191" s="21"/>
      <c r="P191" s="22"/>
      <c r="Q191" s="21" t="s">
        <v>654</v>
      </c>
      <c r="R191" s="21"/>
      <c r="S191" s="27" t="s">
        <v>655</v>
      </c>
      <c r="T191" s="13">
        <v>1489.49</v>
      </c>
      <c r="U191" s="23">
        <v>44025</v>
      </c>
      <c r="V191" s="23">
        <v>44025</v>
      </c>
      <c r="W191" s="13">
        <v>0</v>
      </c>
    </row>
    <row r="192" spans="1:23" ht="60" x14ac:dyDescent="0.25">
      <c r="A192" s="26" t="s">
        <v>656</v>
      </c>
      <c r="B192" s="21">
        <v>80204250585</v>
      </c>
      <c r="C192" s="22" t="s">
        <v>141</v>
      </c>
      <c r="D192" s="27" t="s">
        <v>657</v>
      </c>
      <c r="E192" s="22" t="s">
        <v>658</v>
      </c>
      <c r="F192" s="22"/>
      <c r="G192" s="22"/>
      <c r="H192" s="22"/>
      <c r="I192" s="22"/>
      <c r="J192" s="22" t="s">
        <v>320</v>
      </c>
      <c r="K192" s="22"/>
      <c r="L192" s="27" t="s">
        <v>659</v>
      </c>
      <c r="M192" s="22"/>
      <c r="N192" s="21"/>
      <c r="O192" s="21"/>
      <c r="P192" s="22"/>
      <c r="Q192" s="21" t="s">
        <v>660</v>
      </c>
      <c r="R192" s="21"/>
      <c r="S192" s="27" t="s">
        <v>661</v>
      </c>
      <c r="T192" s="13">
        <v>210000</v>
      </c>
      <c r="U192" s="23">
        <v>44197</v>
      </c>
      <c r="V192" s="23">
        <v>44926</v>
      </c>
      <c r="W192" s="13">
        <v>0</v>
      </c>
    </row>
    <row r="193" spans="1:26" ht="75" x14ac:dyDescent="0.25">
      <c r="A193" s="26" t="s">
        <v>662</v>
      </c>
      <c r="B193" s="21">
        <v>80204250585</v>
      </c>
      <c r="C193" s="22" t="s">
        <v>141</v>
      </c>
      <c r="D193" s="27" t="s">
        <v>663</v>
      </c>
      <c r="E193" s="22" t="s">
        <v>108</v>
      </c>
      <c r="F193" s="22"/>
      <c r="G193" s="22"/>
      <c r="H193" s="22"/>
      <c r="I193" s="22"/>
      <c r="K193" s="22"/>
      <c r="L193" s="22"/>
      <c r="M193" s="22"/>
      <c r="N193" s="21"/>
      <c r="O193" s="21"/>
      <c r="P193" s="22"/>
      <c r="Q193" s="21" t="s">
        <v>203</v>
      </c>
      <c r="R193" s="21"/>
      <c r="S193" s="22" t="s">
        <v>664</v>
      </c>
      <c r="T193" s="13">
        <v>28695.599999999999</v>
      </c>
      <c r="U193" s="23">
        <v>44098</v>
      </c>
      <c r="V193" s="23">
        <v>44643</v>
      </c>
      <c r="W193" s="13">
        <f>20000.36+4782.77</f>
        <v>24783.13</v>
      </c>
    </row>
    <row r="194" spans="1:26" ht="75" x14ac:dyDescent="0.25">
      <c r="A194" s="26" t="s">
        <v>665</v>
      </c>
      <c r="B194" s="21">
        <v>80204250585</v>
      </c>
      <c r="C194" s="22" t="s">
        <v>141</v>
      </c>
      <c r="D194" s="27" t="s">
        <v>666</v>
      </c>
      <c r="E194" s="22" t="s">
        <v>658</v>
      </c>
      <c r="F194" s="22" t="s">
        <v>667</v>
      </c>
      <c r="G194" s="22"/>
      <c r="H194" s="22" t="s">
        <v>668</v>
      </c>
      <c r="I194" s="27" t="s">
        <v>66</v>
      </c>
      <c r="K194" s="22"/>
      <c r="L194" s="22"/>
      <c r="M194" s="22" t="s">
        <v>667</v>
      </c>
      <c r="N194" s="21"/>
      <c r="O194" s="21" t="s">
        <v>668</v>
      </c>
      <c r="P194" s="27" t="s">
        <v>66</v>
      </c>
      <c r="R194" s="21"/>
      <c r="S194" s="22"/>
      <c r="T194" s="13">
        <v>159695</v>
      </c>
      <c r="U194" s="23">
        <v>44228</v>
      </c>
      <c r="V194" s="23">
        <v>44957</v>
      </c>
      <c r="W194" s="13">
        <f>127446.61+2495.08+4893.36+2495.31+4893.36+2495.31+4893.36+2495.31+2495.31</f>
        <v>154603.00999999995</v>
      </c>
    </row>
    <row r="195" spans="1:26" ht="75" x14ac:dyDescent="0.25">
      <c r="A195" s="26" t="s">
        <v>669</v>
      </c>
      <c r="B195" s="21">
        <v>80204250585</v>
      </c>
      <c r="C195" s="22" t="s">
        <v>141</v>
      </c>
      <c r="D195" s="27" t="s">
        <v>670</v>
      </c>
      <c r="E195" s="22" t="s">
        <v>108</v>
      </c>
      <c r="F195" s="22"/>
      <c r="G195" s="22"/>
      <c r="H195" s="22"/>
      <c r="I195" s="22"/>
      <c r="K195" s="22"/>
      <c r="L195" s="22"/>
      <c r="M195" s="22"/>
      <c r="N195" s="21"/>
      <c r="O195" s="21"/>
      <c r="P195" s="22"/>
      <c r="Q195" s="21" t="s">
        <v>243</v>
      </c>
      <c r="R195" s="21"/>
      <c r="S195" s="22" t="s">
        <v>671</v>
      </c>
      <c r="T195" s="13">
        <v>1500</v>
      </c>
      <c r="U195" s="23">
        <v>44103</v>
      </c>
      <c r="V195" s="23">
        <v>44164</v>
      </c>
      <c r="W195" s="13">
        <v>0</v>
      </c>
    </row>
    <row r="196" spans="1:26" ht="180" x14ac:dyDescent="0.25">
      <c r="A196" s="26" t="s">
        <v>672</v>
      </c>
      <c r="B196" s="21">
        <v>80204250585</v>
      </c>
      <c r="C196" s="22" t="s">
        <v>141</v>
      </c>
      <c r="D196" s="27" t="s">
        <v>673</v>
      </c>
      <c r="E196" s="22" t="s">
        <v>50</v>
      </c>
      <c r="F196" s="22"/>
      <c r="G196" s="22"/>
      <c r="H196" s="22"/>
      <c r="I196" s="22"/>
      <c r="K196" s="22"/>
      <c r="L196" s="22"/>
      <c r="M196" s="22"/>
      <c r="N196" s="21"/>
      <c r="O196" s="21"/>
      <c r="P196" s="22"/>
      <c r="Q196" s="21" t="s">
        <v>1588</v>
      </c>
      <c r="R196" s="21"/>
      <c r="S196" s="22" t="s">
        <v>674</v>
      </c>
      <c r="T196" s="13">
        <v>360000</v>
      </c>
      <c r="U196" s="23">
        <v>44197</v>
      </c>
      <c r="V196" s="23">
        <v>45657</v>
      </c>
      <c r="W196" s="13">
        <f>1099063.5+28746.92+41860.62+59790.99+3463.72+7705.41+6011.51</f>
        <v>1246642.67</v>
      </c>
    </row>
    <row r="197" spans="1:26" ht="90" x14ac:dyDescent="0.25">
      <c r="A197" s="26" t="s">
        <v>675</v>
      </c>
      <c r="B197" s="21">
        <v>80204250585</v>
      </c>
      <c r="C197" s="22" t="s">
        <v>141</v>
      </c>
      <c r="D197" s="27" t="s">
        <v>676</v>
      </c>
      <c r="E197" s="22" t="s">
        <v>50</v>
      </c>
      <c r="F197" s="22"/>
      <c r="G197" s="22"/>
      <c r="H197" s="22"/>
      <c r="I197" s="22"/>
      <c r="K197" s="22"/>
      <c r="L197" s="22"/>
      <c r="M197" s="22"/>
      <c r="N197" s="21"/>
      <c r="O197" s="21"/>
      <c r="P197" s="22"/>
      <c r="Q197" s="32" t="s">
        <v>677</v>
      </c>
      <c r="R197" s="21"/>
      <c r="S197" s="22" t="s">
        <v>678</v>
      </c>
      <c r="T197" s="13">
        <v>354</v>
      </c>
      <c r="U197" s="23">
        <v>43998</v>
      </c>
      <c r="V197" s="23">
        <v>43998</v>
      </c>
      <c r="W197" s="13">
        <v>0</v>
      </c>
    </row>
    <row r="198" spans="1:26" ht="120" x14ac:dyDescent="0.25">
      <c r="A198" s="26" t="s">
        <v>679</v>
      </c>
      <c r="B198" s="21">
        <v>80204250585</v>
      </c>
      <c r="C198" s="22" t="s">
        <v>141</v>
      </c>
      <c r="D198" s="27" t="s">
        <v>680</v>
      </c>
      <c r="E198" s="22" t="s">
        <v>63</v>
      </c>
      <c r="F198" s="22"/>
      <c r="G198" s="22"/>
      <c r="H198" s="22"/>
      <c r="I198" s="22"/>
      <c r="K198" s="22"/>
      <c r="L198" s="22"/>
      <c r="M198" s="22"/>
      <c r="N198" s="21"/>
      <c r="O198" s="21"/>
      <c r="P198" s="22"/>
      <c r="Q198" s="21" t="s">
        <v>681</v>
      </c>
      <c r="R198" s="21"/>
      <c r="S198" s="22" t="s">
        <v>682</v>
      </c>
      <c r="T198" s="13">
        <v>566560</v>
      </c>
      <c r="U198" s="23">
        <v>43983</v>
      </c>
      <c r="V198" s="23">
        <v>45443</v>
      </c>
      <c r="W198" s="13">
        <v>447440</v>
      </c>
    </row>
    <row r="199" spans="1:26" ht="60" x14ac:dyDescent="0.25">
      <c r="A199" s="26" t="s">
        <v>683</v>
      </c>
      <c r="B199" s="21">
        <v>80204250585</v>
      </c>
      <c r="C199" s="22" t="s">
        <v>141</v>
      </c>
      <c r="D199" s="27" t="s">
        <v>684</v>
      </c>
      <c r="E199" s="22" t="s">
        <v>108</v>
      </c>
      <c r="F199" s="22"/>
      <c r="G199" s="22"/>
      <c r="H199" s="22"/>
      <c r="I199" s="22"/>
      <c r="K199" s="22"/>
      <c r="L199" s="22"/>
      <c r="M199" s="22"/>
      <c r="N199" s="21"/>
      <c r="O199" s="21"/>
      <c r="P199" s="22"/>
      <c r="Q199" s="21" t="s">
        <v>352</v>
      </c>
      <c r="R199" s="21"/>
      <c r="S199" s="22" t="s">
        <v>353</v>
      </c>
      <c r="T199" s="13">
        <v>10000</v>
      </c>
      <c r="U199" s="23">
        <v>44105</v>
      </c>
      <c r="V199" s="23">
        <v>44469</v>
      </c>
      <c r="W199" s="13">
        <v>8053</v>
      </c>
    </row>
    <row r="200" spans="1:26" ht="30" x14ac:dyDescent="0.25">
      <c r="A200" s="26" t="s">
        <v>685</v>
      </c>
      <c r="B200" s="21">
        <v>80204250585</v>
      </c>
      <c r="C200" s="22" t="s">
        <v>141</v>
      </c>
      <c r="D200" s="27" t="s">
        <v>630</v>
      </c>
      <c r="E200" s="22" t="s">
        <v>108</v>
      </c>
      <c r="F200" s="22"/>
      <c r="G200" s="22"/>
      <c r="H200" s="22"/>
      <c r="I200" s="22"/>
      <c r="K200" s="22"/>
      <c r="L200" s="22"/>
      <c r="M200" s="22"/>
      <c r="N200" s="21"/>
      <c r="O200" s="21"/>
      <c r="P200" s="22"/>
      <c r="Q200" s="21" t="s">
        <v>686</v>
      </c>
      <c r="S200" s="27" t="s">
        <v>687</v>
      </c>
      <c r="T200" s="13">
        <v>1340.16</v>
      </c>
      <c r="U200" s="23">
        <v>43252</v>
      </c>
      <c r="V200" s="23">
        <v>44926</v>
      </c>
      <c r="W200" s="13">
        <v>77.44</v>
      </c>
    </row>
    <row r="201" spans="1:26" ht="90" x14ac:dyDescent="0.25">
      <c r="A201" s="24" t="s">
        <v>688</v>
      </c>
      <c r="B201" s="21">
        <v>80204250585</v>
      </c>
      <c r="C201" s="22" t="s">
        <v>48</v>
      </c>
      <c r="D201" s="27" t="s">
        <v>689</v>
      </c>
      <c r="E201" s="22" t="s">
        <v>54</v>
      </c>
      <c r="J201" s="22" t="s">
        <v>690</v>
      </c>
      <c r="L201" s="22" t="s">
        <v>691</v>
      </c>
      <c r="Q201" s="21" t="s">
        <v>51</v>
      </c>
      <c r="S201" s="27" t="s">
        <v>52</v>
      </c>
      <c r="T201" s="13">
        <v>147976.85999999999</v>
      </c>
      <c r="U201" s="23">
        <v>43710</v>
      </c>
      <c r="V201" s="23">
        <v>45170</v>
      </c>
      <c r="W201" s="13">
        <f>3497.75+77607.35</f>
        <v>81105.100000000006</v>
      </c>
    </row>
    <row r="202" spans="1:26" ht="90" x14ac:dyDescent="0.25">
      <c r="A202" s="24" t="s">
        <v>692</v>
      </c>
      <c r="B202" s="21">
        <v>80204250585</v>
      </c>
      <c r="C202" s="22" t="s">
        <v>48</v>
      </c>
      <c r="D202" s="27" t="s">
        <v>693</v>
      </c>
      <c r="E202" s="22" t="s">
        <v>108</v>
      </c>
      <c r="J202" s="22" t="s">
        <v>694</v>
      </c>
      <c r="L202" s="27" t="s">
        <v>695</v>
      </c>
      <c r="Q202" s="21" t="s">
        <v>694</v>
      </c>
      <c r="S202" s="27" t="s">
        <v>695</v>
      </c>
      <c r="T202" s="13">
        <v>36000</v>
      </c>
      <c r="W202" s="13">
        <v>0</v>
      </c>
    </row>
    <row r="203" spans="1:26" ht="120" x14ac:dyDescent="0.25">
      <c r="A203" s="26" t="s">
        <v>696</v>
      </c>
      <c r="B203" s="21">
        <v>80204250585</v>
      </c>
      <c r="C203" s="22" t="s">
        <v>48</v>
      </c>
      <c r="D203" s="22" t="s">
        <v>444</v>
      </c>
      <c r="E203" s="22" t="s">
        <v>83</v>
      </c>
      <c r="F203" s="22"/>
      <c r="G203" s="22"/>
      <c r="H203" s="22"/>
      <c r="I203" s="22"/>
      <c r="J203" s="22" t="s">
        <v>697</v>
      </c>
      <c r="K203" s="22"/>
      <c r="L203" s="22" t="s">
        <v>698</v>
      </c>
      <c r="M203" s="22"/>
      <c r="N203" s="21"/>
      <c r="O203" s="21"/>
      <c r="P203" s="22"/>
      <c r="Q203" s="21" t="s">
        <v>445</v>
      </c>
      <c r="R203" s="21"/>
      <c r="S203" s="22" t="s">
        <v>699</v>
      </c>
      <c r="T203" s="13">
        <v>120200</v>
      </c>
      <c r="U203" s="23">
        <v>44287</v>
      </c>
      <c r="V203" s="23">
        <v>45382</v>
      </c>
      <c r="W203" s="13">
        <f>1031.45+144.26+216.39+328+576+160+1224+1224+208+1048+2184+160+2399.08+1115.15</f>
        <v>12018.33</v>
      </c>
    </row>
    <row r="204" spans="1:26" ht="135" x14ac:dyDescent="0.25">
      <c r="A204" s="26" t="s">
        <v>700</v>
      </c>
      <c r="B204" s="21">
        <v>80204250585</v>
      </c>
      <c r="C204" s="22" t="s">
        <v>48</v>
      </c>
      <c r="D204" s="22" t="s">
        <v>701</v>
      </c>
      <c r="E204" s="22" t="s">
        <v>108</v>
      </c>
      <c r="F204" s="22"/>
      <c r="G204" s="22"/>
      <c r="H204" s="22"/>
      <c r="I204" s="22"/>
      <c r="J204" s="22" t="s">
        <v>109</v>
      </c>
      <c r="K204" s="22"/>
      <c r="L204" s="22" t="s">
        <v>147</v>
      </c>
      <c r="M204" s="22"/>
      <c r="N204" s="21"/>
      <c r="O204" s="21"/>
      <c r="P204" s="22"/>
      <c r="Q204" s="21" t="s">
        <v>109</v>
      </c>
      <c r="R204" s="21"/>
      <c r="S204" s="22" t="s">
        <v>147</v>
      </c>
      <c r="T204" s="13">
        <v>9975</v>
      </c>
      <c r="U204" s="23">
        <v>44136</v>
      </c>
      <c r="V204" s="23">
        <v>44316</v>
      </c>
      <c r="W204" s="13">
        <v>5955</v>
      </c>
    </row>
    <row r="205" spans="1:26" ht="135" x14ac:dyDescent="0.25">
      <c r="A205" s="26" t="s">
        <v>702</v>
      </c>
      <c r="B205" s="21">
        <v>80204250585</v>
      </c>
      <c r="C205" s="22" t="s">
        <v>48</v>
      </c>
      <c r="D205" s="22" t="s">
        <v>703</v>
      </c>
      <c r="E205" s="22" t="s">
        <v>108</v>
      </c>
      <c r="F205" s="22"/>
      <c r="G205" s="22"/>
      <c r="H205" s="22"/>
      <c r="I205" s="22"/>
      <c r="J205" s="22" t="s">
        <v>555</v>
      </c>
      <c r="K205" s="22"/>
      <c r="L205" s="22" t="s">
        <v>704</v>
      </c>
      <c r="M205" s="22"/>
      <c r="N205" s="21"/>
      <c r="O205" s="21"/>
      <c r="P205" s="22"/>
      <c r="Q205" s="21" t="s">
        <v>555</v>
      </c>
      <c r="R205" s="21"/>
      <c r="S205" s="22" t="s">
        <v>704</v>
      </c>
      <c r="T205" s="13">
        <v>10980</v>
      </c>
      <c r="U205" s="23">
        <v>44136</v>
      </c>
      <c r="V205" s="23">
        <v>44316</v>
      </c>
      <c r="W205" s="13">
        <v>0</v>
      </c>
    </row>
    <row r="206" spans="1:26" ht="60" x14ac:dyDescent="0.25">
      <c r="A206" s="26" t="s">
        <v>706</v>
      </c>
      <c r="B206" s="21">
        <v>80204250585</v>
      </c>
      <c r="C206" s="27" t="s">
        <v>141</v>
      </c>
      <c r="D206" s="27" t="s">
        <v>707</v>
      </c>
      <c r="E206" s="22" t="s">
        <v>54</v>
      </c>
      <c r="Q206" s="21">
        <v>13014760154</v>
      </c>
      <c r="S206" s="27" t="s">
        <v>708</v>
      </c>
      <c r="T206" s="13">
        <v>41395.519999999997</v>
      </c>
      <c r="U206" s="23">
        <v>44197</v>
      </c>
      <c r="V206" s="23">
        <v>44926</v>
      </c>
      <c r="W206" s="13">
        <f>15523.32+5174.44+5174.44+5174.44+5174.44</f>
        <v>36221.079999999994</v>
      </c>
    </row>
    <row r="207" spans="1:26" ht="60" x14ac:dyDescent="0.25">
      <c r="A207" s="26" t="s">
        <v>710</v>
      </c>
      <c r="B207" s="21">
        <v>80204250585</v>
      </c>
      <c r="C207" s="27" t="s">
        <v>141</v>
      </c>
      <c r="D207" s="27" t="s">
        <v>711</v>
      </c>
      <c r="E207" s="22" t="s">
        <v>54</v>
      </c>
      <c r="Q207" s="32" t="s">
        <v>1577</v>
      </c>
      <c r="S207" s="27" t="s">
        <v>712</v>
      </c>
      <c r="T207" s="13">
        <v>35870.43</v>
      </c>
      <c r="U207" s="23">
        <v>44197</v>
      </c>
      <c r="V207" s="23">
        <v>44561</v>
      </c>
      <c r="W207" s="13">
        <v>35680.800000000003</v>
      </c>
      <c r="Z207" s="33"/>
    </row>
    <row r="208" spans="1:26" ht="105" x14ac:dyDescent="0.25">
      <c r="A208" s="26" t="s">
        <v>713</v>
      </c>
      <c r="B208" s="21">
        <v>80204250585</v>
      </c>
      <c r="C208" s="27" t="s">
        <v>141</v>
      </c>
      <c r="D208" s="27" t="s">
        <v>714</v>
      </c>
      <c r="E208" s="22" t="s">
        <v>54</v>
      </c>
      <c r="Q208" s="21" t="s">
        <v>1592</v>
      </c>
      <c r="S208" s="27" t="s">
        <v>715</v>
      </c>
      <c r="T208" s="13">
        <v>19912.66</v>
      </c>
      <c r="U208" s="23">
        <v>44197</v>
      </c>
      <c r="V208" s="23">
        <v>44926</v>
      </c>
      <c r="W208" s="13">
        <v>19912.66</v>
      </c>
    </row>
    <row r="209" spans="1:23" ht="90" x14ac:dyDescent="0.25">
      <c r="A209" s="26" t="s">
        <v>717</v>
      </c>
      <c r="B209" s="21">
        <v>80204250585</v>
      </c>
      <c r="C209" s="27" t="s">
        <v>141</v>
      </c>
      <c r="D209" s="27" t="s">
        <v>718</v>
      </c>
      <c r="E209" s="22" t="s">
        <v>164</v>
      </c>
      <c r="J209" s="22" t="s">
        <v>719</v>
      </c>
      <c r="L209" s="27" t="s">
        <v>720</v>
      </c>
      <c r="Q209" s="21" t="s">
        <v>88</v>
      </c>
      <c r="S209" s="27" t="s">
        <v>721</v>
      </c>
      <c r="T209" s="13">
        <v>161366.31</v>
      </c>
      <c r="U209" s="23">
        <v>44197</v>
      </c>
      <c r="V209" s="23">
        <v>45657</v>
      </c>
      <c r="W209" s="13">
        <f>71.30733+11482.42</f>
        <v>11553.72733</v>
      </c>
    </row>
    <row r="210" spans="1:23" ht="75" x14ac:dyDescent="0.25">
      <c r="A210" s="26" t="s">
        <v>723</v>
      </c>
      <c r="B210" s="21">
        <v>80204250585</v>
      </c>
      <c r="C210" s="27" t="s">
        <v>141</v>
      </c>
      <c r="D210" s="27" t="s">
        <v>724</v>
      </c>
      <c r="E210" s="22" t="s">
        <v>108</v>
      </c>
      <c r="S210" s="27" t="s">
        <v>304</v>
      </c>
      <c r="T210" s="13">
        <v>40500</v>
      </c>
      <c r="U210" s="23">
        <v>44197</v>
      </c>
      <c r="V210" s="23">
        <v>44561</v>
      </c>
      <c r="W210" s="13">
        <v>0</v>
      </c>
    </row>
    <row r="211" spans="1:23" ht="60" x14ac:dyDescent="0.25">
      <c r="A211" s="26" t="s">
        <v>725</v>
      </c>
      <c r="B211" s="21">
        <v>80204250585</v>
      </c>
      <c r="C211" s="27" t="s">
        <v>141</v>
      </c>
      <c r="D211" s="27" t="s">
        <v>726</v>
      </c>
      <c r="E211" s="22" t="s">
        <v>54</v>
      </c>
      <c r="S211" s="27" t="s">
        <v>301</v>
      </c>
      <c r="T211" s="13">
        <v>35400</v>
      </c>
      <c r="U211" s="23">
        <v>44197</v>
      </c>
      <c r="V211" s="23">
        <v>44926</v>
      </c>
      <c r="W211" s="13">
        <v>0</v>
      </c>
    </row>
    <row r="212" spans="1:23" ht="60" x14ac:dyDescent="0.25">
      <c r="A212" s="26" t="s">
        <v>727</v>
      </c>
      <c r="B212" s="21">
        <v>80204250585</v>
      </c>
      <c r="C212" s="27" t="s">
        <v>141</v>
      </c>
      <c r="D212" s="27" t="s">
        <v>728</v>
      </c>
      <c r="E212" s="22" t="s">
        <v>108</v>
      </c>
      <c r="J212" s="22">
        <v>1765930589</v>
      </c>
      <c r="L212" s="27" t="s">
        <v>647</v>
      </c>
      <c r="Q212" s="21" t="s">
        <v>261</v>
      </c>
      <c r="S212" s="27" t="s">
        <v>647</v>
      </c>
      <c r="T212" s="13">
        <v>8640</v>
      </c>
      <c r="U212" s="23">
        <v>44197</v>
      </c>
      <c r="V212" s="23">
        <v>44377</v>
      </c>
      <c r="W212" s="13">
        <v>0</v>
      </c>
    </row>
    <row r="213" spans="1:23" ht="75" x14ac:dyDescent="0.25">
      <c r="A213" s="26" t="s">
        <v>729</v>
      </c>
      <c r="B213" s="21">
        <v>80204250585</v>
      </c>
      <c r="C213" s="27" t="s">
        <v>141</v>
      </c>
      <c r="D213" s="27" t="s">
        <v>730</v>
      </c>
      <c r="E213" s="22" t="s">
        <v>108</v>
      </c>
      <c r="S213" s="27" t="s">
        <v>731</v>
      </c>
      <c r="T213" s="13">
        <v>11000</v>
      </c>
      <c r="U213" s="23">
        <v>44255</v>
      </c>
      <c r="V213" s="23">
        <v>45349</v>
      </c>
      <c r="W213" s="13">
        <v>0</v>
      </c>
    </row>
    <row r="214" spans="1:23" ht="60" x14ac:dyDescent="0.25">
      <c r="A214" s="26" t="s">
        <v>733</v>
      </c>
      <c r="B214" s="21">
        <v>80204250585</v>
      </c>
      <c r="C214" s="27" t="s">
        <v>141</v>
      </c>
      <c r="D214" s="27" t="s">
        <v>734</v>
      </c>
      <c r="E214" s="22" t="s">
        <v>54</v>
      </c>
      <c r="Q214" s="21">
        <v>10295850969</v>
      </c>
      <c r="S214" s="27" t="s">
        <v>306</v>
      </c>
      <c r="T214" s="13">
        <v>17300</v>
      </c>
      <c r="U214" s="23">
        <v>44197</v>
      </c>
      <c r="V214" s="23">
        <v>44561</v>
      </c>
      <c r="W214" s="13">
        <f>4325*3</f>
        <v>12975</v>
      </c>
    </row>
    <row r="215" spans="1:23" ht="60" x14ac:dyDescent="0.25">
      <c r="A215" s="26" t="s">
        <v>736</v>
      </c>
      <c r="B215" s="21">
        <v>80204250585</v>
      </c>
      <c r="C215" s="27" t="s">
        <v>141</v>
      </c>
      <c r="D215" s="27" t="s">
        <v>737</v>
      </c>
      <c r="E215" s="22" t="s">
        <v>108</v>
      </c>
      <c r="F215" s="22"/>
      <c r="G215" s="22"/>
      <c r="H215" s="22"/>
      <c r="I215" s="22"/>
      <c r="K215" s="22"/>
      <c r="L215" s="22"/>
      <c r="M215" s="22"/>
      <c r="N215" s="21"/>
      <c r="O215" s="21"/>
      <c r="P215" s="22"/>
      <c r="Q215" s="21" t="s">
        <v>738</v>
      </c>
      <c r="R215" s="21"/>
      <c r="S215" s="22" t="s">
        <v>739</v>
      </c>
      <c r="T215" s="13">
        <v>712</v>
      </c>
      <c r="U215" s="23">
        <v>44124</v>
      </c>
      <c r="V215" s="23">
        <v>44510</v>
      </c>
      <c r="W215" s="13">
        <v>0</v>
      </c>
    </row>
    <row r="216" spans="1:23" ht="75" x14ac:dyDescent="0.25">
      <c r="A216" s="24" t="s">
        <v>740</v>
      </c>
      <c r="B216" s="16">
        <v>80204250585</v>
      </c>
      <c r="C216" s="27" t="s">
        <v>141</v>
      </c>
      <c r="D216" s="27" t="s">
        <v>741</v>
      </c>
      <c r="E216" s="22" t="s">
        <v>108</v>
      </c>
      <c r="S216" s="27" t="s">
        <v>742</v>
      </c>
      <c r="T216" s="13">
        <v>28800</v>
      </c>
      <c r="U216" s="23">
        <v>44196</v>
      </c>
      <c r="V216" s="23">
        <v>44926</v>
      </c>
      <c r="W216" s="13">
        <v>0</v>
      </c>
    </row>
    <row r="217" spans="1:23" ht="120" x14ac:dyDescent="0.25">
      <c r="A217" s="24" t="s">
        <v>743</v>
      </c>
      <c r="B217" s="16">
        <v>80204250585</v>
      </c>
      <c r="C217" s="27" t="s">
        <v>141</v>
      </c>
      <c r="D217" s="27" t="s">
        <v>744</v>
      </c>
      <c r="E217" s="27" t="s">
        <v>50</v>
      </c>
      <c r="Q217" s="21" t="s">
        <v>88</v>
      </c>
      <c r="S217" s="27" t="s">
        <v>721</v>
      </c>
      <c r="T217" s="13">
        <v>109013</v>
      </c>
      <c r="U217" s="23">
        <v>44139</v>
      </c>
      <c r="V217" s="23">
        <v>45964</v>
      </c>
      <c r="W217" s="13">
        <v>1009013</v>
      </c>
    </row>
    <row r="218" spans="1:23" ht="120" x14ac:dyDescent="0.25">
      <c r="A218" s="24" t="s">
        <v>745</v>
      </c>
      <c r="B218" s="16">
        <v>80204250585</v>
      </c>
      <c r="C218" s="27" t="s">
        <v>141</v>
      </c>
      <c r="D218" s="27" t="s">
        <v>746</v>
      </c>
      <c r="E218" s="27" t="s">
        <v>50</v>
      </c>
      <c r="Q218" s="21" t="s">
        <v>88</v>
      </c>
      <c r="S218" s="27" t="s">
        <v>721</v>
      </c>
      <c r="T218" s="13">
        <v>6975</v>
      </c>
      <c r="U218" s="23">
        <v>44137</v>
      </c>
      <c r="V218" s="23">
        <v>45964</v>
      </c>
      <c r="W218" s="13">
        <v>6975</v>
      </c>
    </row>
    <row r="219" spans="1:23" ht="90" x14ac:dyDescent="0.25">
      <c r="A219" s="26" t="s">
        <v>747</v>
      </c>
      <c r="B219" s="16">
        <v>80204250585</v>
      </c>
      <c r="C219" s="27" t="s">
        <v>141</v>
      </c>
      <c r="D219" s="27" t="s">
        <v>748</v>
      </c>
      <c r="E219" s="27" t="s">
        <v>50</v>
      </c>
      <c r="F219" s="22"/>
      <c r="G219" s="22"/>
      <c r="H219" s="22"/>
      <c r="I219" s="22"/>
      <c r="K219" s="22"/>
      <c r="L219" s="22"/>
      <c r="M219" s="22"/>
      <c r="N219" s="21"/>
      <c r="O219" s="21"/>
      <c r="P219" s="22"/>
      <c r="Q219" s="21" t="s">
        <v>749</v>
      </c>
      <c r="R219" s="21"/>
      <c r="S219" s="27" t="s">
        <v>750</v>
      </c>
      <c r="T219" s="13">
        <v>165926</v>
      </c>
      <c r="U219" s="23">
        <v>44151</v>
      </c>
      <c r="V219" s="23">
        <v>45976</v>
      </c>
      <c r="W219" s="13">
        <v>164466</v>
      </c>
    </row>
    <row r="220" spans="1:23" ht="75" x14ac:dyDescent="0.25">
      <c r="A220" s="26" t="s">
        <v>751</v>
      </c>
      <c r="B220" s="16">
        <v>80204250585</v>
      </c>
      <c r="C220" s="27" t="s">
        <v>141</v>
      </c>
      <c r="D220" s="27" t="s">
        <v>752</v>
      </c>
      <c r="E220" s="22" t="s">
        <v>108</v>
      </c>
      <c r="F220" s="22"/>
      <c r="G220" s="22"/>
      <c r="H220" s="22"/>
      <c r="I220" s="22"/>
      <c r="J220" s="22" t="s">
        <v>753</v>
      </c>
      <c r="K220" s="22"/>
      <c r="L220" s="22" t="s">
        <v>754</v>
      </c>
      <c r="M220" s="22"/>
      <c r="N220" s="21"/>
      <c r="O220" s="21"/>
      <c r="P220" s="22"/>
      <c r="Q220" s="21" t="s">
        <v>755</v>
      </c>
      <c r="R220" s="21"/>
      <c r="S220" s="22" t="s">
        <v>756</v>
      </c>
      <c r="T220" s="13">
        <v>40925</v>
      </c>
      <c r="U220" s="23">
        <v>44253</v>
      </c>
      <c r="V220" s="23">
        <v>45565</v>
      </c>
      <c r="W220" s="13">
        <f>24432.17+2714.68</f>
        <v>27146.85</v>
      </c>
    </row>
    <row r="221" spans="1:23" ht="135" x14ac:dyDescent="0.25">
      <c r="A221" s="26" t="s">
        <v>757</v>
      </c>
      <c r="B221" s="16">
        <v>80204250585</v>
      </c>
      <c r="C221" s="27" t="s">
        <v>141</v>
      </c>
      <c r="D221" s="27" t="s">
        <v>758</v>
      </c>
      <c r="E221" s="22" t="s">
        <v>63</v>
      </c>
      <c r="F221" s="22"/>
      <c r="G221" s="22"/>
      <c r="H221" s="22"/>
      <c r="I221" s="22"/>
      <c r="K221" s="22"/>
      <c r="L221" s="22"/>
      <c r="M221" s="22" t="s">
        <v>759</v>
      </c>
      <c r="N221" s="21"/>
      <c r="O221" s="21" t="s">
        <v>760</v>
      </c>
      <c r="P221" s="22" t="s">
        <v>761</v>
      </c>
      <c r="R221" s="21"/>
      <c r="S221" s="22"/>
      <c r="T221" s="13">
        <v>8498014.5999999996</v>
      </c>
      <c r="U221" s="23">
        <v>44136</v>
      </c>
      <c r="V221" s="23">
        <v>45961</v>
      </c>
      <c r="W221" s="13">
        <v>3894555.03</v>
      </c>
    </row>
    <row r="222" spans="1:23" ht="135" x14ac:dyDescent="0.25">
      <c r="A222" s="26" t="s">
        <v>762</v>
      </c>
      <c r="B222" s="16">
        <v>80204250585</v>
      </c>
      <c r="C222" s="27" t="s">
        <v>141</v>
      </c>
      <c r="D222" s="27" t="s">
        <v>763</v>
      </c>
      <c r="E222" s="22" t="s">
        <v>63</v>
      </c>
      <c r="F222" s="22"/>
      <c r="G222" s="22"/>
      <c r="H222" s="22"/>
      <c r="I222" s="22"/>
      <c r="K222" s="22"/>
      <c r="L222" s="22"/>
      <c r="M222" s="22" t="s">
        <v>764</v>
      </c>
      <c r="N222" s="21"/>
      <c r="O222" s="21" t="s">
        <v>765</v>
      </c>
      <c r="P222" s="22" t="s">
        <v>1573</v>
      </c>
      <c r="R222" s="21"/>
      <c r="S222" s="22"/>
      <c r="T222" s="13">
        <v>8800450</v>
      </c>
      <c r="U222" s="23">
        <v>44136</v>
      </c>
      <c r="V222" s="23">
        <v>45961</v>
      </c>
      <c r="W222" s="13">
        <f>3451953.57+40950+1950+8589.75+14018.75+827.86+98700+6012.15+23250+8500+70350</f>
        <v>3725102.0799999996</v>
      </c>
    </row>
    <row r="223" spans="1:23" ht="120" x14ac:dyDescent="0.25">
      <c r="A223" s="26" t="s">
        <v>766</v>
      </c>
      <c r="B223" s="16">
        <v>80204250585</v>
      </c>
      <c r="C223" s="27" t="s">
        <v>141</v>
      </c>
      <c r="D223" s="22" t="s">
        <v>767</v>
      </c>
      <c r="E223" s="22" t="s">
        <v>108</v>
      </c>
      <c r="F223" s="22"/>
      <c r="G223" s="22"/>
      <c r="H223" s="22"/>
      <c r="I223" s="22"/>
      <c r="K223" s="22"/>
      <c r="L223" s="22"/>
      <c r="M223" s="22"/>
      <c r="N223" s="21"/>
      <c r="O223" s="21"/>
      <c r="P223" s="22"/>
      <c r="Q223" s="21" t="s">
        <v>768</v>
      </c>
      <c r="R223" s="21"/>
      <c r="S223" s="22" t="s">
        <v>769</v>
      </c>
      <c r="T223" s="13">
        <v>840</v>
      </c>
      <c r="U223" s="23">
        <v>44105</v>
      </c>
      <c r="V223" s="23">
        <v>44195</v>
      </c>
      <c r="W223" s="13">
        <v>0</v>
      </c>
    </row>
    <row r="224" spans="1:23" ht="60" x14ac:dyDescent="0.25">
      <c r="A224" s="26" t="s">
        <v>770</v>
      </c>
      <c r="B224" s="16">
        <v>80204250585</v>
      </c>
      <c r="C224" s="27" t="s">
        <v>141</v>
      </c>
      <c r="D224" s="22" t="s">
        <v>771</v>
      </c>
      <c r="E224" s="22" t="s">
        <v>108</v>
      </c>
      <c r="F224" s="22"/>
      <c r="G224" s="22"/>
      <c r="H224" s="22"/>
      <c r="I224" s="22"/>
      <c r="K224" s="22"/>
      <c r="L224" s="22"/>
      <c r="M224" s="22"/>
      <c r="N224" s="21"/>
      <c r="O224" s="21"/>
      <c r="P224" s="22"/>
      <c r="Q224" s="21" t="s">
        <v>772</v>
      </c>
      <c r="R224" s="21"/>
      <c r="S224" s="22" t="s">
        <v>773</v>
      </c>
      <c r="T224" s="13">
        <v>1135</v>
      </c>
      <c r="U224" s="23">
        <v>44119</v>
      </c>
      <c r="V224" s="23">
        <v>45214</v>
      </c>
      <c r="W224" s="13">
        <v>1135</v>
      </c>
    </row>
    <row r="225" spans="1:23" ht="120" x14ac:dyDescent="0.25">
      <c r="A225" s="26" t="s">
        <v>774</v>
      </c>
      <c r="B225" s="16">
        <v>80204250585</v>
      </c>
      <c r="C225" s="27" t="s">
        <v>141</v>
      </c>
      <c r="D225" s="22" t="s">
        <v>775</v>
      </c>
      <c r="E225" s="22" t="s">
        <v>108</v>
      </c>
      <c r="F225" s="22"/>
      <c r="G225" s="22"/>
      <c r="H225" s="22"/>
      <c r="I225" s="22"/>
      <c r="K225" s="22"/>
      <c r="L225" s="22"/>
      <c r="M225" s="22"/>
      <c r="N225" s="21"/>
      <c r="O225" s="21"/>
      <c r="P225" s="22"/>
      <c r="R225" s="21"/>
      <c r="S225" s="22"/>
      <c r="T225" s="13">
        <v>6400</v>
      </c>
      <c r="U225" s="23">
        <v>44166</v>
      </c>
      <c r="V225" s="23">
        <v>44895</v>
      </c>
      <c r="W225" s="13">
        <v>0</v>
      </c>
    </row>
    <row r="226" spans="1:23" ht="90" x14ac:dyDescent="0.25">
      <c r="A226" s="26" t="s">
        <v>776</v>
      </c>
      <c r="B226" s="16">
        <v>80204250585</v>
      </c>
      <c r="C226" s="27" t="s">
        <v>141</v>
      </c>
      <c r="D226" s="22" t="s">
        <v>777</v>
      </c>
      <c r="E226" s="22" t="s">
        <v>108</v>
      </c>
      <c r="F226" s="22"/>
      <c r="G226" s="22"/>
      <c r="H226" s="22"/>
      <c r="I226" s="22"/>
      <c r="K226" s="22"/>
      <c r="L226" s="22"/>
      <c r="M226" s="22"/>
      <c r="N226" s="21"/>
      <c r="O226" s="21"/>
      <c r="P226" s="22"/>
      <c r="R226" s="21"/>
      <c r="S226" s="22"/>
      <c r="T226" s="13">
        <v>3840</v>
      </c>
      <c r="U226" s="23">
        <v>44166</v>
      </c>
      <c r="V226" s="23">
        <v>44895</v>
      </c>
      <c r="W226" s="13">
        <f>1958.4+1996.8</f>
        <v>3955.2</v>
      </c>
    </row>
    <row r="227" spans="1:23" ht="90" x14ac:dyDescent="0.25">
      <c r="A227" s="26" t="s">
        <v>778</v>
      </c>
      <c r="B227" s="21">
        <v>80204250585</v>
      </c>
      <c r="C227" s="22" t="s">
        <v>48</v>
      </c>
      <c r="D227" s="22" t="s">
        <v>779</v>
      </c>
      <c r="E227" s="22" t="s">
        <v>108</v>
      </c>
      <c r="F227" s="22"/>
      <c r="G227" s="22"/>
      <c r="H227" s="22"/>
      <c r="I227" s="22"/>
      <c r="J227" s="22" t="s">
        <v>780</v>
      </c>
      <c r="K227" s="22"/>
      <c r="L227" s="22" t="s">
        <v>781</v>
      </c>
      <c r="M227" s="22"/>
      <c r="N227" s="21"/>
      <c r="O227" s="21"/>
      <c r="P227" s="22"/>
      <c r="Q227" s="21" t="s">
        <v>782</v>
      </c>
      <c r="R227" s="21"/>
      <c r="S227" s="22" t="s">
        <v>783</v>
      </c>
      <c r="T227" s="13">
        <v>97896</v>
      </c>
      <c r="U227" s="23">
        <v>44127</v>
      </c>
      <c r="V227" s="23">
        <v>45260</v>
      </c>
      <c r="W227" s="13">
        <v>94938.26</v>
      </c>
    </row>
    <row r="228" spans="1:23" ht="75" x14ac:dyDescent="0.25">
      <c r="A228" s="26" t="s">
        <v>784</v>
      </c>
      <c r="B228" s="21">
        <v>80204250585</v>
      </c>
      <c r="C228" s="22" t="s">
        <v>48</v>
      </c>
      <c r="D228" s="22" t="s">
        <v>785</v>
      </c>
      <c r="E228" s="22" t="s">
        <v>108</v>
      </c>
      <c r="F228" s="22"/>
      <c r="G228" s="22"/>
      <c r="H228" s="22"/>
      <c r="I228" s="22"/>
      <c r="J228" s="22" t="s">
        <v>786</v>
      </c>
      <c r="K228" s="22"/>
      <c r="L228" s="22" t="s">
        <v>787</v>
      </c>
      <c r="M228" s="22"/>
      <c r="N228" s="21"/>
      <c r="O228" s="21"/>
      <c r="P228" s="22"/>
      <c r="Q228" s="21" t="s">
        <v>786</v>
      </c>
      <c r="R228" s="21"/>
      <c r="S228" s="22" t="s">
        <v>787</v>
      </c>
      <c r="T228" s="13">
        <v>6440</v>
      </c>
      <c r="U228" s="23">
        <v>44165</v>
      </c>
      <c r="V228" s="23">
        <v>44196</v>
      </c>
      <c r="W228" s="13">
        <v>5278.69</v>
      </c>
    </row>
    <row r="229" spans="1:23" ht="135" x14ac:dyDescent="0.25">
      <c r="A229" s="26" t="s">
        <v>788</v>
      </c>
      <c r="B229" s="21">
        <v>80204250585</v>
      </c>
      <c r="C229" s="22" t="s">
        <v>48</v>
      </c>
      <c r="D229" s="22" t="s">
        <v>789</v>
      </c>
      <c r="E229" s="22" t="s">
        <v>108</v>
      </c>
      <c r="F229" s="22"/>
      <c r="G229" s="22"/>
      <c r="H229" s="22"/>
      <c r="I229" s="22"/>
      <c r="K229" s="22"/>
      <c r="L229" s="22" t="s">
        <v>790</v>
      </c>
      <c r="M229" s="22"/>
      <c r="N229" s="21"/>
      <c r="O229" s="21"/>
      <c r="P229" s="22"/>
      <c r="R229" s="21"/>
      <c r="S229" s="22" t="s">
        <v>790</v>
      </c>
      <c r="T229" s="13">
        <v>35000</v>
      </c>
      <c r="U229" s="23">
        <v>44165</v>
      </c>
      <c r="V229" s="23">
        <v>44561</v>
      </c>
      <c r="W229" s="13">
        <v>1893.4299999999998</v>
      </c>
    </row>
    <row r="230" spans="1:23" ht="90" x14ac:dyDescent="0.25">
      <c r="A230" s="26" t="s">
        <v>791</v>
      </c>
      <c r="B230" s="21">
        <v>80204250585</v>
      </c>
      <c r="C230" s="22" t="s">
        <v>48</v>
      </c>
      <c r="D230" s="22" t="s">
        <v>792</v>
      </c>
      <c r="E230" s="22" t="s">
        <v>108</v>
      </c>
      <c r="F230" s="22"/>
      <c r="G230" s="22"/>
      <c r="H230" s="22"/>
      <c r="I230" s="22"/>
      <c r="J230" s="22" t="s">
        <v>793</v>
      </c>
      <c r="K230" s="22"/>
      <c r="L230" s="22" t="s">
        <v>794</v>
      </c>
      <c r="M230" s="22"/>
      <c r="N230" s="21"/>
      <c r="O230" s="21"/>
      <c r="P230" s="22"/>
      <c r="Q230" s="21" t="s">
        <v>793</v>
      </c>
      <c r="R230" s="21"/>
      <c r="S230" s="22" t="s">
        <v>794</v>
      </c>
      <c r="T230" s="13">
        <v>8500</v>
      </c>
      <c r="U230" s="23">
        <v>44169</v>
      </c>
      <c r="V230" s="23">
        <v>44196</v>
      </c>
      <c r="W230" s="13">
        <v>6918.03</v>
      </c>
    </row>
    <row r="231" spans="1:23" ht="90" x14ac:dyDescent="0.25">
      <c r="A231" s="24" t="s">
        <v>795</v>
      </c>
      <c r="B231" s="21">
        <v>80204250585</v>
      </c>
      <c r="C231" s="22" t="s">
        <v>48</v>
      </c>
      <c r="D231" s="27" t="s">
        <v>796</v>
      </c>
      <c r="E231" s="22" t="s">
        <v>50</v>
      </c>
      <c r="Q231" s="21">
        <v>97103880585</v>
      </c>
      <c r="S231" s="27" t="s">
        <v>563</v>
      </c>
      <c r="T231" s="13">
        <v>30000</v>
      </c>
      <c r="U231" s="23">
        <v>44274</v>
      </c>
      <c r="V231" s="23">
        <v>44985</v>
      </c>
      <c r="W231" s="13">
        <v>20821.84</v>
      </c>
    </row>
    <row r="232" spans="1:23" ht="75" x14ac:dyDescent="0.25">
      <c r="A232" s="24" t="s">
        <v>797</v>
      </c>
      <c r="B232" s="21">
        <v>80204250585</v>
      </c>
      <c r="C232" s="22" t="s">
        <v>48</v>
      </c>
      <c r="D232" s="27" t="s">
        <v>798</v>
      </c>
      <c r="E232" s="22" t="s">
        <v>108</v>
      </c>
      <c r="S232" s="27" t="s">
        <v>799</v>
      </c>
      <c r="T232" s="13">
        <v>12556</v>
      </c>
      <c r="U232" s="23">
        <v>44210</v>
      </c>
      <c r="V232" s="23">
        <v>44575</v>
      </c>
      <c r="W232" s="13">
        <v>0</v>
      </c>
    </row>
    <row r="233" spans="1:23" ht="90" x14ac:dyDescent="0.25">
      <c r="A233" s="24" t="s">
        <v>800</v>
      </c>
      <c r="B233" s="21">
        <v>80204250585</v>
      </c>
      <c r="C233" s="22" t="s">
        <v>48</v>
      </c>
      <c r="D233" s="27" t="s">
        <v>801</v>
      </c>
      <c r="E233" s="22" t="s">
        <v>108</v>
      </c>
      <c r="J233" s="32" t="s">
        <v>1124</v>
      </c>
      <c r="L233" s="27" t="s">
        <v>802</v>
      </c>
      <c r="Q233" s="32" t="s">
        <v>1124</v>
      </c>
      <c r="S233" s="27" t="s">
        <v>802</v>
      </c>
      <c r="T233" s="13">
        <v>10000</v>
      </c>
      <c r="U233" s="23">
        <v>44214</v>
      </c>
      <c r="V233" s="23">
        <v>44561</v>
      </c>
      <c r="W233" s="13">
        <v>3835.2299999999996</v>
      </c>
    </row>
    <row r="234" spans="1:23" ht="45" x14ac:dyDescent="0.25">
      <c r="A234" s="24" t="s">
        <v>803</v>
      </c>
      <c r="B234" s="21">
        <v>80204250585</v>
      </c>
      <c r="C234" s="22" t="s">
        <v>48</v>
      </c>
      <c r="D234" s="27" t="s">
        <v>804</v>
      </c>
      <c r="E234" s="22" t="s">
        <v>108</v>
      </c>
      <c r="J234" s="22" t="s">
        <v>805</v>
      </c>
      <c r="L234" s="27" t="s">
        <v>806</v>
      </c>
      <c r="S234" s="27" t="s">
        <v>807</v>
      </c>
      <c r="T234" s="13">
        <v>5000</v>
      </c>
      <c r="U234" s="23">
        <v>44237</v>
      </c>
      <c r="V234" s="23">
        <v>44561</v>
      </c>
      <c r="W234" s="13">
        <v>2946.67</v>
      </c>
    </row>
    <row r="235" spans="1:23" ht="105" x14ac:dyDescent="0.25">
      <c r="A235" s="26" t="s">
        <v>808</v>
      </c>
      <c r="B235" s="21">
        <v>80204250585</v>
      </c>
      <c r="C235" s="22" t="s">
        <v>48</v>
      </c>
      <c r="D235" s="27" t="s">
        <v>809</v>
      </c>
      <c r="E235" s="22" t="s">
        <v>108</v>
      </c>
      <c r="F235" s="22"/>
      <c r="G235" s="22"/>
      <c r="H235" s="22"/>
      <c r="I235" s="22"/>
      <c r="J235" s="22" t="s">
        <v>810</v>
      </c>
      <c r="K235" s="22"/>
      <c r="L235" s="22" t="s">
        <v>811</v>
      </c>
      <c r="M235" s="22"/>
      <c r="N235" s="21"/>
      <c r="O235" s="21"/>
      <c r="P235" s="22"/>
      <c r="Q235" s="21" t="s">
        <v>369</v>
      </c>
      <c r="R235" s="21"/>
      <c r="S235" s="22" t="s">
        <v>557</v>
      </c>
      <c r="T235" s="13">
        <v>55500</v>
      </c>
      <c r="U235" s="23">
        <v>44317</v>
      </c>
      <c r="V235" s="23">
        <v>44957</v>
      </c>
      <c r="W235" s="13">
        <f>22714.27+7571.43+7571.43+15142.86</f>
        <v>52999.990000000005</v>
      </c>
    </row>
    <row r="236" spans="1:23" ht="75" x14ac:dyDescent="0.25">
      <c r="A236" s="26" t="s">
        <v>812</v>
      </c>
      <c r="B236" s="21">
        <v>80204250585</v>
      </c>
      <c r="C236" s="22" t="s">
        <v>48</v>
      </c>
      <c r="D236" s="27" t="s">
        <v>813</v>
      </c>
      <c r="E236" s="22" t="s">
        <v>54</v>
      </c>
      <c r="J236" s="22" t="s">
        <v>194</v>
      </c>
      <c r="L236" s="27" t="s">
        <v>195</v>
      </c>
      <c r="Q236" s="21" t="s">
        <v>194</v>
      </c>
      <c r="S236" s="27" t="s">
        <v>195</v>
      </c>
      <c r="T236" s="13">
        <v>199800</v>
      </c>
      <c r="U236" s="23">
        <v>44328</v>
      </c>
      <c r="V236" s="23">
        <v>45077</v>
      </c>
      <c r="W236" s="13">
        <f>193325+925+925+925+925+925+925</f>
        <v>198875</v>
      </c>
    </row>
    <row r="237" spans="1:23" ht="225" x14ac:dyDescent="0.25">
      <c r="A237" s="26" t="s">
        <v>814</v>
      </c>
      <c r="B237" s="21">
        <v>80204250585</v>
      </c>
      <c r="C237" s="22" t="s">
        <v>48</v>
      </c>
      <c r="D237" s="27" t="s">
        <v>815</v>
      </c>
      <c r="E237" s="22" t="s">
        <v>108</v>
      </c>
      <c r="F237" s="22"/>
      <c r="G237" s="22"/>
      <c r="H237" s="22"/>
      <c r="I237" s="22"/>
      <c r="K237" s="22"/>
      <c r="L237" s="22"/>
      <c r="M237" s="22"/>
      <c r="N237" s="21"/>
      <c r="O237" s="21"/>
      <c r="P237" s="22"/>
      <c r="Q237" s="21" t="s">
        <v>251</v>
      </c>
      <c r="R237" s="21"/>
      <c r="S237" s="27" t="s">
        <v>816</v>
      </c>
      <c r="T237" s="13">
        <v>8515</v>
      </c>
      <c r="U237" s="23">
        <v>44287</v>
      </c>
      <c r="V237" s="23">
        <v>44651</v>
      </c>
      <c r="W237" s="13">
        <v>0</v>
      </c>
    </row>
    <row r="238" spans="1:23" ht="135" x14ac:dyDescent="0.25">
      <c r="A238" s="26" t="s">
        <v>817</v>
      </c>
      <c r="B238" s="21">
        <v>80204250585</v>
      </c>
      <c r="C238" s="22" t="s">
        <v>48</v>
      </c>
      <c r="D238" s="27" t="s">
        <v>818</v>
      </c>
      <c r="E238" s="22" t="s">
        <v>54</v>
      </c>
      <c r="F238" s="22"/>
      <c r="G238" s="22"/>
      <c r="H238" s="22"/>
      <c r="I238" s="22"/>
      <c r="K238" s="22"/>
      <c r="L238" s="22"/>
      <c r="M238" s="22"/>
      <c r="N238" s="21"/>
      <c r="O238" s="21"/>
      <c r="P238" s="22"/>
      <c r="Q238" s="21" t="s">
        <v>153</v>
      </c>
      <c r="R238" s="21"/>
      <c r="S238" s="22" t="s">
        <v>154</v>
      </c>
      <c r="T238" s="13">
        <v>110500</v>
      </c>
      <c r="U238" s="23">
        <v>44249</v>
      </c>
      <c r="V238" s="23">
        <v>44978</v>
      </c>
      <c r="W238" s="13">
        <f>45811.4+9162.29*2+9162.29*2+9162.29+9162.29</f>
        <v>100785.14000000001</v>
      </c>
    </row>
    <row r="239" spans="1:23" ht="210" x14ac:dyDescent="0.25">
      <c r="A239" s="26" t="s">
        <v>819</v>
      </c>
      <c r="B239" s="21">
        <v>80204250585</v>
      </c>
      <c r="C239" s="22" t="s">
        <v>48</v>
      </c>
      <c r="D239" s="27" t="s">
        <v>820</v>
      </c>
      <c r="E239" s="22" t="s">
        <v>50</v>
      </c>
      <c r="F239" s="22"/>
      <c r="G239" s="22"/>
      <c r="H239" s="22"/>
      <c r="I239" s="22"/>
      <c r="K239" s="22"/>
      <c r="L239" s="22"/>
      <c r="M239" s="22"/>
      <c r="N239" s="21"/>
      <c r="O239" s="21"/>
      <c r="P239" s="22"/>
      <c r="Q239" s="21" t="s">
        <v>821</v>
      </c>
      <c r="R239" s="21"/>
      <c r="S239" s="22" t="s">
        <v>822</v>
      </c>
      <c r="T239" s="13">
        <v>1396077.16</v>
      </c>
      <c r="U239" s="23">
        <v>44287</v>
      </c>
      <c r="V239" s="23">
        <v>46112</v>
      </c>
      <c r="W239" s="13">
        <f>552143.69+50.28+26212.01+26212.01+26212.01</f>
        <v>630830</v>
      </c>
    </row>
    <row r="240" spans="1:23" ht="90" x14ac:dyDescent="0.25">
      <c r="A240" s="26" t="s">
        <v>823</v>
      </c>
      <c r="B240" s="21">
        <v>80204250585</v>
      </c>
      <c r="C240" s="22" t="s">
        <v>48</v>
      </c>
      <c r="D240" s="27" t="s">
        <v>824</v>
      </c>
      <c r="E240" s="22" t="s">
        <v>54</v>
      </c>
      <c r="F240" s="22"/>
      <c r="G240" s="22"/>
      <c r="H240" s="22"/>
      <c r="I240" s="22"/>
      <c r="K240" s="22"/>
      <c r="L240" s="22"/>
      <c r="M240" s="22"/>
      <c r="N240" s="21"/>
      <c r="O240" s="21"/>
      <c r="P240" s="22"/>
      <c r="Q240" s="21">
        <v>11586340157</v>
      </c>
      <c r="R240" s="21"/>
      <c r="S240" s="27" t="s">
        <v>364</v>
      </c>
      <c r="T240" s="13">
        <v>82459.02</v>
      </c>
      <c r="U240" s="23">
        <v>44273</v>
      </c>
      <c r="V240" s="23">
        <v>45077</v>
      </c>
      <c r="W240" s="13">
        <v>0</v>
      </c>
    </row>
    <row r="241" spans="1:23" ht="60" x14ac:dyDescent="0.25">
      <c r="A241" s="26" t="s">
        <v>826</v>
      </c>
      <c r="B241" s="21">
        <v>80204250585</v>
      </c>
      <c r="C241" s="22" t="s">
        <v>48</v>
      </c>
      <c r="D241" s="27" t="s">
        <v>827</v>
      </c>
      <c r="E241" s="22" t="s">
        <v>108</v>
      </c>
      <c r="F241" s="22"/>
      <c r="G241" s="22"/>
      <c r="H241" s="22"/>
      <c r="I241" s="22"/>
      <c r="K241" s="22"/>
      <c r="L241" s="22"/>
      <c r="M241" s="22"/>
      <c r="N241" s="21"/>
      <c r="O241" s="21"/>
      <c r="P241" s="22"/>
      <c r="Q241" s="21" t="s">
        <v>828</v>
      </c>
      <c r="R241" s="21"/>
      <c r="S241" s="22" t="s">
        <v>829</v>
      </c>
      <c r="T241" s="13">
        <v>3621</v>
      </c>
      <c r="U241" s="23">
        <v>44255</v>
      </c>
      <c r="V241" s="23">
        <v>45349</v>
      </c>
      <c r="W241" s="13">
        <v>3621</v>
      </c>
    </row>
    <row r="242" spans="1:23" ht="60" x14ac:dyDescent="0.25">
      <c r="A242" s="26" t="s">
        <v>830</v>
      </c>
      <c r="B242" s="21">
        <v>80204250585</v>
      </c>
      <c r="C242" s="22" t="s">
        <v>48</v>
      </c>
      <c r="D242" s="27" t="s">
        <v>831</v>
      </c>
      <c r="E242" s="22" t="s">
        <v>108</v>
      </c>
      <c r="F242" s="22"/>
      <c r="G242" s="22"/>
      <c r="H242" s="22"/>
      <c r="I242" s="22"/>
      <c r="K242" s="22"/>
      <c r="L242" s="22"/>
      <c r="M242" s="22"/>
      <c r="N242" s="21"/>
      <c r="O242" s="21"/>
      <c r="P242" s="22"/>
      <c r="Q242" s="21" t="s">
        <v>832</v>
      </c>
      <c r="R242" s="21"/>
      <c r="S242" s="22" t="s">
        <v>735</v>
      </c>
      <c r="T242" s="13">
        <v>6625</v>
      </c>
      <c r="U242" s="23">
        <v>44256</v>
      </c>
      <c r="V242" s="23">
        <v>44439</v>
      </c>
      <c r="W242" s="13">
        <v>6625</v>
      </c>
    </row>
    <row r="243" spans="1:23" ht="90" x14ac:dyDescent="0.25">
      <c r="A243" s="26" t="s">
        <v>833</v>
      </c>
      <c r="B243" s="21">
        <v>80204250585</v>
      </c>
      <c r="C243" s="22" t="s">
        <v>48</v>
      </c>
      <c r="D243" s="27" t="s">
        <v>834</v>
      </c>
      <c r="E243" s="22" t="s">
        <v>108</v>
      </c>
      <c r="F243" s="22"/>
      <c r="G243" s="22"/>
      <c r="H243" s="22"/>
      <c r="I243" s="22"/>
      <c r="K243" s="22"/>
      <c r="L243" s="22"/>
      <c r="M243" s="22"/>
      <c r="N243" s="21"/>
      <c r="O243" s="21"/>
      <c r="P243" s="22"/>
      <c r="R243" s="21"/>
      <c r="S243" s="22" t="s">
        <v>835</v>
      </c>
      <c r="T243" s="13">
        <v>8000</v>
      </c>
      <c r="U243" s="23">
        <v>44287</v>
      </c>
      <c r="V243" s="23">
        <v>44651</v>
      </c>
      <c r="W243" s="13">
        <v>0</v>
      </c>
    </row>
    <row r="244" spans="1:23" ht="75" x14ac:dyDescent="0.25">
      <c r="A244" s="26" t="s">
        <v>836</v>
      </c>
      <c r="B244" s="21">
        <v>80204250585</v>
      </c>
      <c r="C244" s="22" t="s">
        <v>48</v>
      </c>
      <c r="D244" s="27" t="s">
        <v>837</v>
      </c>
      <c r="E244" s="22" t="s">
        <v>108</v>
      </c>
      <c r="Q244" s="21">
        <v>10701020157</v>
      </c>
      <c r="R244" s="21"/>
      <c r="S244" s="22" t="s">
        <v>838</v>
      </c>
      <c r="T244" s="13">
        <v>4200</v>
      </c>
      <c r="U244" s="23">
        <v>44316</v>
      </c>
      <c r="V244" s="23">
        <v>45045</v>
      </c>
      <c r="W244" s="13">
        <f>1050+1050+1050+1050</f>
        <v>4200</v>
      </c>
    </row>
    <row r="245" spans="1:23" ht="90" x14ac:dyDescent="0.25">
      <c r="A245" s="26" t="s">
        <v>839</v>
      </c>
      <c r="B245" s="21">
        <v>80204250585</v>
      </c>
      <c r="C245" s="22" t="s">
        <v>48</v>
      </c>
      <c r="D245" s="27" t="s">
        <v>840</v>
      </c>
      <c r="E245" s="22" t="s">
        <v>108</v>
      </c>
      <c r="F245" s="22"/>
      <c r="G245" s="22"/>
      <c r="H245" s="22"/>
      <c r="I245" s="22"/>
      <c r="K245" s="22"/>
      <c r="L245" s="22"/>
      <c r="M245" s="22"/>
      <c r="N245" s="21"/>
      <c r="O245" s="21"/>
      <c r="P245" s="22"/>
      <c r="Q245" s="21" t="s">
        <v>841</v>
      </c>
      <c r="R245" s="21"/>
      <c r="S245" s="22" t="s">
        <v>842</v>
      </c>
      <c r="T245" s="13">
        <v>750</v>
      </c>
      <c r="U245" s="23">
        <v>44236</v>
      </c>
      <c r="V245" s="23">
        <v>44803</v>
      </c>
      <c r="W245" s="13">
        <v>0</v>
      </c>
    </row>
    <row r="246" spans="1:23" ht="135" x14ac:dyDescent="0.25">
      <c r="A246" s="26" t="s">
        <v>843</v>
      </c>
      <c r="B246" s="21">
        <v>80204250585</v>
      </c>
      <c r="C246" s="22" t="s">
        <v>48</v>
      </c>
      <c r="D246" s="22" t="s">
        <v>703</v>
      </c>
      <c r="E246" s="22" t="s">
        <v>108</v>
      </c>
      <c r="F246" s="22"/>
      <c r="G246" s="22"/>
      <c r="H246" s="22"/>
      <c r="I246" s="22"/>
      <c r="J246" s="22" t="s">
        <v>555</v>
      </c>
      <c r="K246" s="22"/>
      <c r="L246" s="22" t="s">
        <v>704</v>
      </c>
      <c r="M246" s="22"/>
      <c r="N246" s="21"/>
      <c r="O246" s="21"/>
      <c r="P246" s="22"/>
      <c r="Q246" s="21" t="s">
        <v>555</v>
      </c>
      <c r="R246" s="21"/>
      <c r="S246" s="22" t="s">
        <v>704</v>
      </c>
      <c r="T246" s="13">
        <v>10980</v>
      </c>
      <c r="U246" s="23">
        <v>44136</v>
      </c>
      <c r="V246" s="23">
        <v>44316</v>
      </c>
      <c r="W246" s="13">
        <v>1844.26</v>
      </c>
    </row>
    <row r="247" spans="1:23" ht="150" x14ac:dyDescent="0.25">
      <c r="A247" s="26" t="s">
        <v>845</v>
      </c>
      <c r="B247" s="21" t="s">
        <v>468</v>
      </c>
      <c r="C247" s="22" t="s">
        <v>48</v>
      </c>
      <c r="D247" s="22" t="s">
        <v>846</v>
      </c>
      <c r="E247" s="22" t="s">
        <v>50</v>
      </c>
      <c r="F247" s="22"/>
      <c r="G247" s="22"/>
      <c r="H247" s="22"/>
      <c r="I247" s="22"/>
      <c r="J247" s="22" t="s">
        <v>105</v>
      </c>
      <c r="K247" s="22"/>
      <c r="L247" s="22" t="s">
        <v>847</v>
      </c>
      <c r="M247" s="22"/>
      <c r="N247" s="21"/>
      <c r="O247" s="21"/>
      <c r="P247" s="22"/>
      <c r="Q247" s="21" t="s">
        <v>105</v>
      </c>
      <c r="R247" s="21"/>
      <c r="S247" s="22" t="s">
        <v>847</v>
      </c>
      <c r="T247" s="13">
        <v>116643.4</v>
      </c>
      <c r="U247" s="23">
        <v>44287</v>
      </c>
      <c r="V247" s="23">
        <v>44469</v>
      </c>
      <c r="W247" s="13">
        <v>100859.76</v>
      </c>
    </row>
    <row r="248" spans="1:23" ht="165" x14ac:dyDescent="0.25">
      <c r="A248" s="26" t="s">
        <v>848</v>
      </c>
      <c r="B248" s="21" t="s">
        <v>468</v>
      </c>
      <c r="C248" s="22" t="s">
        <v>48</v>
      </c>
      <c r="D248" s="22" t="s">
        <v>849</v>
      </c>
      <c r="E248" s="22" t="s">
        <v>54</v>
      </c>
      <c r="F248" s="22"/>
      <c r="G248" s="22"/>
      <c r="H248" s="22"/>
      <c r="I248" s="22"/>
      <c r="J248" s="22" t="s">
        <v>850</v>
      </c>
      <c r="K248" s="22"/>
      <c r="L248" s="22" t="s">
        <v>851</v>
      </c>
      <c r="M248" s="22"/>
      <c r="N248" s="21"/>
      <c r="O248" s="21"/>
      <c r="P248" s="22"/>
      <c r="Q248" s="21" t="s">
        <v>852</v>
      </c>
      <c r="R248" s="21"/>
      <c r="S248" s="22" t="s">
        <v>851</v>
      </c>
      <c r="T248" s="13">
        <v>1734050</v>
      </c>
      <c r="U248" s="23">
        <v>44440</v>
      </c>
      <c r="V248" s="23">
        <v>45351</v>
      </c>
      <c r="W248" s="13">
        <f>1153724.1+172212.51+172212.51</f>
        <v>1498149.12</v>
      </c>
    </row>
    <row r="249" spans="1:23" ht="225" x14ac:dyDescent="0.25">
      <c r="A249" s="26" t="s">
        <v>853</v>
      </c>
      <c r="B249" s="21" t="s">
        <v>468</v>
      </c>
      <c r="C249" s="22" t="s">
        <v>48</v>
      </c>
      <c r="D249" s="27" t="s">
        <v>854</v>
      </c>
      <c r="E249" s="22" t="s">
        <v>108</v>
      </c>
      <c r="F249" s="22"/>
      <c r="G249" s="22"/>
      <c r="H249" s="22"/>
      <c r="I249" s="22"/>
      <c r="J249" s="22" t="s">
        <v>855</v>
      </c>
      <c r="K249" s="22"/>
      <c r="L249" s="22" t="s">
        <v>856</v>
      </c>
      <c r="M249" s="22"/>
      <c r="N249" s="21"/>
      <c r="O249" s="21"/>
      <c r="P249" s="22"/>
      <c r="Q249" s="21" t="s">
        <v>857</v>
      </c>
      <c r="R249" s="21"/>
      <c r="S249" s="22" t="s">
        <v>858</v>
      </c>
      <c r="T249" s="13">
        <v>5200</v>
      </c>
      <c r="U249" s="23">
        <v>44293</v>
      </c>
      <c r="V249" s="23">
        <v>44469</v>
      </c>
      <c r="W249" s="13">
        <v>5408</v>
      </c>
    </row>
    <row r="250" spans="1:23" ht="90" x14ac:dyDescent="0.25">
      <c r="A250" s="24" t="s">
        <v>859</v>
      </c>
      <c r="B250" s="21">
        <v>80204250585</v>
      </c>
      <c r="C250" s="27" t="s">
        <v>141</v>
      </c>
      <c r="D250" s="27" t="s">
        <v>860</v>
      </c>
      <c r="E250" s="22" t="s">
        <v>54</v>
      </c>
      <c r="Q250" s="32" t="s">
        <v>598</v>
      </c>
      <c r="S250" s="27" t="s">
        <v>861</v>
      </c>
      <c r="T250" s="13">
        <v>2560</v>
      </c>
      <c r="U250" s="23">
        <v>44348</v>
      </c>
      <c r="V250" s="23">
        <v>45077</v>
      </c>
      <c r="W250" s="13">
        <f>1273.6+1286.4</f>
        <v>2560</v>
      </c>
    </row>
    <row r="251" spans="1:23" ht="105" x14ac:dyDescent="0.25">
      <c r="A251" s="24" t="s">
        <v>862</v>
      </c>
      <c r="B251" s="21">
        <v>80204250585</v>
      </c>
      <c r="C251" s="27" t="s">
        <v>141</v>
      </c>
      <c r="D251" s="27" t="s">
        <v>863</v>
      </c>
      <c r="E251" s="22" t="s">
        <v>54</v>
      </c>
      <c r="Q251" s="32" t="s">
        <v>598</v>
      </c>
      <c r="S251" s="27" t="s">
        <v>861</v>
      </c>
      <c r="T251" s="13">
        <v>11800</v>
      </c>
      <c r="U251" s="23">
        <v>44325</v>
      </c>
      <c r="V251" s="23">
        <v>45054</v>
      </c>
      <c r="W251" s="13">
        <f>4402.89+1467.63+1467.63+1467.63+1467.63+1526.59</f>
        <v>11800</v>
      </c>
    </row>
    <row r="252" spans="1:23" ht="105" x14ac:dyDescent="0.25">
      <c r="A252" s="24" t="s">
        <v>864</v>
      </c>
      <c r="B252" s="21">
        <v>80204250585</v>
      </c>
      <c r="C252" s="27" t="s">
        <v>141</v>
      </c>
      <c r="D252" s="27" t="s">
        <v>865</v>
      </c>
      <c r="E252" s="22" t="s">
        <v>108</v>
      </c>
      <c r="Q252" s="21" t="s">
        <v>1589</v>
      </c>
      <c r="S252" s="27" t="s">
        <v>383</v>
      </c>
      <c r="T252" s="13">
        <v>5100</v>
      </c>
      <c r="U252" s="23">
        <v>44378</v>
      </c>
      <c r="V252" s="23">
        <v>45107</v>
      </c>
      <c r="W252" s="13">
        <f>1275+786+1275+1275+1275</f>
        <v>5886</v>
      </c>
    </row>
    <row r="253" spans="1:23" ht="225" x14ac:dyDescent="0.25">
      <c r="A253" s="24" t="s">
        <v>866</v>
      </c>
      <c r="B253" s="21">
        <v>80204250585</v>
      </c>
      <c r="C253" s="27" t="s">
        <v>141</v>
      </c>
      <c r="D253" s="27" t="s">
        <v>867</v>
      </c>
      <c r="E253" s="22" t="s">
        <v>50</v>
      </c>
      <c r="F253" s="22" t="s">
        <v>868</v>
      </c>
      <c r="H253" s="22" t="s">
        <v>869</v>
      </c>
      <c r="I253" s="22" t="s">
        <v>604</v>
      </c>
      <c r="M253" s="22" t="s">
        <v>868</v>
      </c>
      <c r="O253" s="21" t="s">
        <v>869</v>
      </c>
      <c r="P253" s="22" t="s">
        <v>604</v>
      </c>
      <c r="T253" s="13">
        <v>70251.570000000007</v>
      </c>
      <c r="U253" s="23">
        <v>44317</v>
      </c>
      <c r="V253" s="23">
        <v>45412</v>
      </c>
      <c r="W253" s="13">
        <f>15684.08+757.07+1289.83+1302.16+757.07+757.07+745.85+1331.67+757.07+757.07+1260.32+757.07+261.34+1471.49+757.07*2+261.34+2502.11+1690.74+757.07+2813.84+757.07+261.34+2195.2+757.07+1945.84+2913.86+3923.09</f>
        <v>50181.869999999995</v>
      </c>
    </row>
    <row r="254" spans="1:23" ht="75" x14ac:dyDescent="0.25">
      <c r="A254" s="24" t="s">
        <v>870</v>
      </c>
      <c r="B254" s="21">
        <v>80204250585</v>
      </c>
      <c r="C254" s="27" t="s">
        <v>141</v>
      </c>
      <c r="D254" s="27" t="s">
        <v>871</v>
      </c>
      <c r="E254" s="22" t="s">
        <v>54</v>
      </c>
      <c r="Q254" s="21" t="s">
        <v>398</v>
      </c>
      <c r="S254" s="27" t="s">
        <v>872</v>
      </c>
      <c r="T254" s="13">
        <v>37529</v>
      </c>
      <c r="U254" s="23">
        <v>44348</v>
      </c>
      <c r="V254" s="23">
        <v>45077</v>
      </c>
      <c r="W254" s="13">
        <f>9382.2+4691.1+4691.1*2+4691.1*2+4691.3</f>
        <v>37529</v>
      </c>
    </row>
    <row r="255" spans="1:23" ht="60" x14ac:dyDescent="0.25">
      <c r="A255" s="24" t="s">
        <v>873</v>
      </c>
      <c r="B255" s="21">
        <v>80204250585</v>
      </c>
      <c r="C255" s="27" t="s">
        <v>141</v>
      </c>
      <c r="D255" s="27" t="s">
        <v>874</v>
      </c>
      <c r="E255" s="22" t="s">
        <v>108</v>
      </c>
      <c r="J255" s="21" t="s">
        <v>261</v>
      </c>
      <c r="L255" s="27" t="s">
        <v>647</v>
      </c>
      <c r="Q255" s="21" t="s">
        <v>261</v>
      </c>
      <c r="S255" s="27" t="s">
        <v>647</v>
      </c>
      <c r="T255" s="13">
        <v>8640</v>
      </c>
      <c r="U255" s="23">
        <v>44378</v>
      </c>
      <c r="V255" s="23">
        <v>44561</v>
      </c>
      <c r="W255" s="13">
        <v>3334.62</v>
      </c>
    </row>
    <row r="256" spans="1:23" ht="105" x14ac:dyDescent="0.25">
      <c r="A256" s="24" t="s">
        <v>875</v>
      </c>
      <c r="B256" s="21">
        <v>80204250585</v>
      </c>
      <c r="C256" s="27" t="s">
        <v>141</v>
      </c>
      <c r="D256" s="27" t="s">
        <v>876</v>
      </c>
      <c r="E256" s="22" t="s">
        <v>50</v>
      </c>
      <c r="J256" s="21" t="s">
        <v>402</v>
      </c>
      <c r="L256" s="27" t="s">
        <v>877</v>
      </c>
      <c r="Q256" s="21" t="s">
        <v>402</v>
      </c>
      <c r="S256" s="27" t="s">
        <v>403</v>
      </c>
      <c r="T256" s="13">
        <v>620000</v>
      </c>
      <c r="U256" s="23">
        <v>44317</v>
      </c>
      <c r="V256" s="23">
        <v>44681</v>
      </c>
      <c r="W256" s="13">
        <f>576948.61+6457.43+98713.11+75997.05+101926.48+5482.34+74493.08</f>
        <v>940018.1</v>
      </c>
    </row>
    <row r="257" spans="1:23" ht="135" x14ac:dyDescent="0.25">
      <c r="A257" s="24" t="s">
        <v>878</v>
      </c>
      <c r="B257" s="21">
        <v>80204250585</v>
      </c>
      <c r="C257" s="27" t="s">
        <v>141</v>
      </c>
      <c r="D257" s="27" t="s">
        <v>879</v>
      </c>
      <c r="E257" s="22" t="s">
        <v>83</v>
      </c>
      <c r="J257" s="22" t="s">
        <v>880</v>
      </c>
      <c r="L257" s="27" t="s">
        <v>881</v>
      </c>
      <c r="Q257" s="21" t="s">
        <v>101</v>
      </c>
      <c r="S257" s="27" t="s">
        <v>882</v>
      </c>
      <c r="T257" s="13">
        <v>101999</v>
      </c>
      <c r="U257" s="23">
        <v>44364</v>
      </c>
      <c r="V257" s="23">
        <v>44728</v>
      </c>
      <c r="W257" s="13">
        <f>44999.5+22499.75+22499.7</f>
        <v>89998.95</v>
      </c>
    </row>
    <row r="258" spans="1:23" ht="90" x14ac:dyDescent="0.25">
      <c r="A258" s="24" t="s">
        <v>883</v>
      </c>
      <c r="B258" s="21">
        <v>80204250585</v>
      </c>
      <c r="C258" s="27" t="s">
        <v>141</v>
      </c>
      <c r="D258" s="27" t="s">
        <v>884</v>
      </c>
      <c r="E258" s="22" t="s">
        <v>108</v>
      </c>
      <c r="S258" s="27" t="s">
        <v>577</v>
      </c>
      <c r="T258" s="13">
        <v>26160</v>
      </c>
      <c r="U258" s="23">
        <v>44354</v>
      </c>
      <c r="V258" s="23">
        <v>45084</v>
      </c>
      <c r="W258" s="13">
        <v>0</v>
      </c>
    </row>
    <row r="259" spans="1:23" ht="60" x14ac:dyDescent="0.25">
      <c r="A259" s="24" t="s">
        <v>885</v>
      </c>
      <c r="B259" s="21">
        <v>80204250585</v>
      </c>
      <c r="C259" s="27" t="s">
        <v>141</v>
      </c>
      <c r="D259" s="27" t="s">
        <v>886</v>
      </c>
      <c r="E259" s="22" t="s">
        <v>108</v>
      </c>
      <c r="Q259" s="21" t="s">
        <v>622</v>
      </c>
      <c r="S259" s="27" t="s">
        <v>623</v>
      </c>
      <c r="T259" s="13">
        <v>3000</v>
      </c>
      <c r="U259" s="23">
        <v>44341</v>
      </c>
      <c r="V259" s="23">
        <v>44561</v>
      </c>
      <c r="W259" s="13">
        <v>2704.91</v>
      </c>
    </row>
    <row r="260" spans="1:23" ht="90" x14ac:dyDescent="0.25">
      <c r="A260" s="24" t="s">
        <v>887</v>
      </c>
      <c r="B260" s="21">
        <v>80204250585</v>
      </c>
      <c r="C260" s="27" t="s">
        <v>141</v>
      </c>
      <c r="D260" s="27" t="s">
        <v>888</v>
      </c>
      <c r="E260" s="22" t="s">
        <v>50</v>
      </c>
      <c r="Q260" s="21" t="s">
        <v>1590</v>
      </c>
      <c r="S260" s="27" t="s">
        <v>889</v>
      </c>
      <c r="T260" s="13">
        <v>4920</v>
      </c>
      <c r="U260" s="23">
        <v>44440</v>
      </c>
      <c r="V260" s="23">
        <v>44773</v>
      </c>
      <c r="W260" s="13">
        <v>4790</v>
      </c>
    </row>
    <row r="261" spans="1:23" ht="150" x14ac:dyDescent="0.25">
      <c r="A261" s="24" t="s">
        <v>890</v>
      </c>
      <c r="B261" s="21">
        <v>80204250585</v>
      </c>
      <c r="C261" s="27" t="s">
        <v>141</v>
      </c>
      <c r="D261" s="27" t="s">
        <v>891</v>
      </c>
      <c r="E261" s="27" t="s">
        <v>63</v>
      </c>
      <c r="Q261" s="21" t="s">
        <v>1587</v>
      </c>
      <c r="S261" s="27" t="s">
        <v>892</v>
      </c>
      <c r="T261" s="13">
        <v>263601.40000000002</v>
      </c>
      <c r="U261" s="23">
        <v>44562</v>
      </c>
      <c r="V261" s="23">
        <v>46387</v>
      </c>
      <c r="W261" s="13">
        <v>17499.12</v>
      </c>
    </row>
    <row r="262" spans="1:23" ht="90" x14ac:dyDescent="0.25">
      <c r="A262" s="26" t="s">
        <v>893</v>
      </c>
      <c r="B262" s="21">
        <v>80204250585</v>
      </c>
      <c r="C262" s="27" t="s">
        <v>141</v>
      </c>
      <c r="D262" s="27" t="s">
        <v>894</v>
      </c>
      <c r="E262" s="22" t="s">
        <v>50</v>
      </c>
      <c r="F262" s="22"/>
      <c r="G262" s="22"/>
      <c r="H262" s="22"/>
      <c r="I262" s="22"/>
      <c r="K262" s="22"/>
      <c r="L262" s="22"/>
      <c r="M262" s="22"/>
      <c r="N262" s="21"/>
      <c r="O262" s="21"/>
      <c r="P262" s="22"/>
      <c r="Q262" s="21" t="s">
        <v>153</v>
      </c>
      <c r="R262" s="21"/>
      <c r="S262" s="22" t="s">
        <v>154</v>
      </c>
      <c r="T262" s="13">
        <v>2725977.1</v>
      </c>
      <c r="U262" s="23">
        <v>44348</v>
      </c>
      <c r="V262" s="23">
        <v>46903</v>
      </c>
      <c r="W262" s="13">
        <v>320114.74</v>
      </c>
    </row>
    <row r="263" spans="1:23" ht="300" x14ac:dyDescent="0.25">
      <c r="A263" s="26" t="s">
        <v>895</v>
      </c>
      <c r="B263" s="21">
        <v>80204250585</v>
      </c>
      <c r="C263" s="27" t="s">
        <v>141</v>
      </c>
      <c r="D263" s="27" t="s">
        <v>896</v>
      </c>
      <c r="E263" s="22" t="s">
        <v>83</v>
      </c>
      <c r="F263" s="22"/>
      <c r="G263" s="22"/>
      <c r="H263" s="22"/>
      <c r="I263" s="22"/>
      <c r="J263" s="22" t="s">
        <v>897</v>
      </c>
      <c r="K263" s="22"/>
      <c r="L263" s="22" t="s">
        <v>898</v>
      </c>
      <c r="M263" s="22"/>
      <c r="N263" s="21"/>
      <c r="O263" s="21"/>
      <c r="P263" s="22"/>
      <c r="Q263" s="21" t="s">
        <v>899</v>
      </c>
      <c r="R263" s="21"/>
      <c r="S263" s="22" t="s">
        <v>900</v>
      </c>
      <c r="T263" s="13">
        <v>54000</v>
      </c>
      <c r="U263" s="23">
        <v>44438</v>
      </c>
      <c r="V263" s="23">
        <v>45534</v>
      </c>
      <c r="W263" s="13">
        <f>54000+14754.09</f>
        <v>68754.09</v>
      </c>
    </row>
    <row r="264" spans="1:23" ht="300" x14ac:dyDescent="0.25">
      <c r="A264" s="26" t="s">
        <v>901</v>
      </c>
      <c r="B264" s="21">
        <v>80204250585</v>
      </c>
      <c r="C264" s="27" t="s">
        <v>141</v>
      </c>
      <c r="D264" s="27" t="s">
        <v>902</v>
      </c>
      <c r="E264" s="22" t="s">
        <v>83</v>
      </c>
      <c r="G264" s="22"/>
      <c r="H264" s="22"/>
      <c r="I264" s="22"/>
      <c r="J264" s="22" t="s">
        <v>897</v>
      </c>
      <c r="K264" s="22"/>
      <c r="L264" s="22" t="s">
        <v>898</v>
      </c>
      <c r="M264" s="22" t="s">
        <v>1575</v>
      </c>
      <c r="N264" s="21"/>
      <c r="O264" s="22" t="s">
        <v>1574</v>
      </c>
      <c r="P264" s="22" t="s">
        <v>903</v>
      </c>
      <c r="R264" s="21"/>
      <c r="S264" s="22"/>
      <c r="T264" s="13">
        <v>0</v>
      </c>
      <c r="U264" s="23">
        <v>44438</v>
      </c>
      <c r="V264" s="23">
        <v>45534</v>
      </c>
      <c r="W264" s="13">
        <f>84000+19344.26+3606.56</f>
        <v>106950.81999999999</v>
      </c>
    </row>
    <row r="265" spans="1:23" ht="409.5" x14ac:dyDescent="0.25">
      <c r="A265" s="26" t="s">
        <v>904</v>
      </c>
      <c r="B265" s="21">
        <v>80204250585</v>
      </c>
      <c r="C265" s="27" t="s">
        <v>141</v>
      </c>
      <c r="D265" s="22" t="s">
        <v>1596</v>
      </c>
      <c r="E265" s="22" t="s">
        <v>83</v>
      </c>
      <c r="F265" s="22"/>
      <c r="G265" s="22"/>
      <c r="H265" s="22"/>
      <c r="I265" s="22"/>
      <c r="J265" s="22" t="s">
        <v>905</v>
      </c>
      <c r="K265" s="22"/>
      <c r="L265" s="22" t="s">
        <v>906</v>
      </c>
      <c r="M265" s="22"/>
      <c r="N265" s="21"/>
      <c r="O265" s="21"/>
      <c r="P265" s="22"/>
      <c r="Q265" s="21" t="s">
        <v>907</v>
      </c>
      <c r="R265" s="21"/>
      <c r="S265" s="22" t="s">
        <v>908</v>
      </c>
      <c r="T265" s="13">
        <v>194149.85</v>
      </c>
      <c r="U265" s="23">
        <v>44420</v>
      </c>
      <c r="V265" s="23">
        <v>44546</v>
      </c>
      <c r="W265" s="13">
        <v>0</v>
      </c>
    </row>
    <row r="266" spans="1:23" ht="90" x14ac:dyDescent="0.25">
      <c r="A266" s="24" t="s">
        <v>909</v>
      </c>
      <c r="B266" s="21" t="s">
        <v>468</v>
      </c>
      <c r="C266" s="22" t="s">
        <v>48</v>
      </c>
      <c r="D266" s="27" t="s">
        <v>910</v>
      </c>
      <c r="E266" s="22" t="s">
        <v>50</v>
      </c>
      <c r="J266" s="22" t="s">
        <v>51</v>
      </c>
      <c r="L266" s="27" t="s">
        <v>911</v>
      </c>
      <c r="Q266" s="21" t="s">
        <v>51</v>
      </c>
      <c r="S266" s="22" t="s">
        <v>911</v>
      </c>
      <c r="T266" s="13">
        <f>65000+36000</f>
        <v>101000</v>
      </c>
      <c r="U266" s="23">
        <v>44371</v>
      </c>
      <c r="V266" s="23">
        <v>45246</v>
      </c>
      <c r="W266" s="13">
        <f>34377.57+7638.95+7778.1+8020.35+8201.34+17618.73+14701.29</f>
        <v>98336.329999999987</v>
      </c>
    </row>
    <row r="267" spans="1:23" ht="75" x14ac:dyDescent="0.25">
      <c r="A267" s="24" t="s">
        <v>912</v>
      </c>
      <c r="B267" s="16">
        <v>80204250585</v>
      </c>
      <c r="C267" s="27" t="s">
        <v>141</v>
      </c>
      <c r="D267" s="27" t="s">
        <v>913</v>
      </c>
      <c r="E267" s="22" t="s">
        <v>108</v>
      </c>
      <c r="L267" s="27" t="s">
        <v>914</v>
      </c>
      <c r="S267" s="27" t="s">
        <v>641</v>
      </c>
      <c r="T267" s="13">
        <v>671.39</v>
      </c>
      <c r="U267" s="23">
        <v>44409</v>
      </c>
      <c r="V267" s="23">
        <v>44773</v>
      </c>
      <c r="W267" s="13">
        <v>0</v>
      </c>
    </row>
    <row r="268" spans="1:23" ht="90" x14ac:dyDescent="0.25">
      <c r="A268" s="24" t="s">
        <v>915</v>
      </c>
      <c r="B268" s="16">
        <v>80204250585</v>
      </c>
      <c r="C268" s="27" t="s">
        <v>141</v>
      </c>
      <c r="D268" s="27" t="s">
        <v>916</v>
      </c>
      <c r="E268" s="22" t="s">
        <v>54</v>
      </c>
      <c r="Q268" s="21" t="s">
        <v>1595</v>
      </c>
      <c r="S268" s="27" t="s">
        <v>917</v>
      </c>
      <c r="T268" s="13">
        <v>12479</v>
      </c>
      <c r="U268" s="23">
        <v>44378</v>
      </c>
      <c r="V268" s="23">
        <v>44742</v>
      </c>
      <c r="W268" s="13">
        <v>15224.380000000001</v>
      </c>
    </row>
    <row r="269" spans="1:23" ht="90" x14ac:dyDescent="0.25">
      <c r="A269" s="24" t="s">
        <v>918</v>
      </c>
      <c r="B269" s="16">
        <v>80204250585</v>
      </c>
      <c r="C269" s="27" t="s">
        <v>141</v>
      </c>
      <c r="D269" s="27" t="s">
        <v>888</v>
      </c>
      <c r="E269" s="27" t="s">
        <v>50</v>
      </c>
      <c r="Q269" s="21">
        <v>13464671000</v>
      </c>
      <c r="S269" s="27" t="s">
        <v>919</v>
      </c>
      <c r="T269" s="13">
        <v>24600</v>
      </c>
      <c r="U269" s="23">
        <v>44440</v>
      </c>
      <c r="V269" s="23">
        <v>44773</v>
      </c>
      <c r="W269" s="13">
        <f>264+410+410+410+410+410+410+410+410+410+410+410+410+410+410+410-8+410+410+410+410+410+264+410+410+410+410+256+410+410+264+410-8+410-8+410+410+410+410+410+410+264+410-8</f>
        <v>15630</v>
      </c>
    </row>
    <row r="270" spans="1:23" ht="150" x14ac:dyDescent="0.25">
      <c r="A270" s="24" t="s">
        <v>920</v>
      </c>
      <c r="B270" s="16">
        <v>80204250585</v>
      </c>
      <c r="C270" s="27" t="s">
        <v>141</v>
      </c>
      <c r="D270" s="27" t="s">
        <v>921</v>
      </c>
      <c r="E270" s="22" t="s">
        <v>54</v>
      </c>
      <c r="Q270" s="21">
        <v>10556200961</v>
      </c>
      <c r="S270" s="27" t="s">
        <v>735</v>
      </c>
      <c r="T270" s="13">
        <v>33125</v>
      </c>
      <c r="U270" s="23">
        <v>44440</v>
      </c>
      <c r="V270" s="23">
        <v>45351</v>
      </c>
      <c r="W270" s="13">
        <f>3312.5+3312.5*2+3312.5+3312.5+3312.5+3312.5</f>
        <v>23187.5</v>
      </c>
    </row>
    <row r="271" spans="1:23" ht="105" x14ac:dyDescent="0.25">
      <c r="A271" s="24" t="s">
        <v>922</v>
      </c>
      <c r="B271" s="16">
        <v>80204250585</v>
      </c>
      <c r="C271" s="27" t="s">
        <v>141</v>
      </c>
      <c r="D271" s="27" t="s">
        <v>923</v>
      </c>
      <c r="E271" s="22" t="s">
        <v>108</v>
      </c>
      <c r="Q271" s="32" t="s">
        <v>677</v>
      </c>
      <c r="S271" s="27" t="s">
        <v>678</v>
      </c>
      <c r="T271" s="13">
        <v>11350</v>
      </c>
      <c r="U271" s="23">
        <v>44356</v>
      </c>
      <c r="V271" s="23">
        <v>44361</v>
      </c>
      <c r="W271" s="13">
        <v>13790.24</v>
      </c>
    </row>
    <row r="272" spans="1:23" ht="90" x14ac:dyDescent="0.25">
      <c r="A272" s="24" t="s">
        <v>924</v>
      </c>
      <c r="B272" s="16">
        <v>80204250585</v>
      </c>
      <c r="C272" s="27" t="s">
        <v>141</v>
      </c>
      <c r="D272" s="27" t="s">
        <v>925</v>
      </c>
      <c r="E272" s="27" t="s">
        <v>50</v>
      </c>
      <c r="Q272" s="32" t="s">
        <v>1344</v>
      </c>
      <c r="S272" s="27" t="s">
        <v>926</v>
      </c>
      <c r="T272" s="13">
        <v>105206.82</v>
      </c>
      <c r="U272" s="23">
        <v>44459</v>
      </c>
      <c r="V272" s="23">
        <v>44761</v>
      </c>
      <c r="W272" s="13">
        <v>105206.8</v>
      </c>
    </row>
    <row r="273" spans="1:23" ht="135" x14ac:dyDescent="0.25">
      <c r="A273" s="24" t="s">
        <v>927</v>
      </c>
      <c r="B273" s="16">
        <v>80204250585</v>
      </c>
      <c r="C273" s="27" t="s">
        <v>141</v>
      </c>
      <c r="D273" s="27" t="s">
        <v>928</v>
      </c>
      <c r="E273" s="27" t="s">
        <v>50</v>
      </c>
      <c r="Q273" s="32" t="s">
        <v>1344</v>
      </c>
      <c r="S273" s="27" t="s">
        <v>926</v>
      </c>
      <c r="T273" s="13">
        <v>792658.75</v>
      </c>
      <c r="U273" s="23">
        <v>44398</v>
      </c>
      <c r="V273" s="23">
        <v>44762</v>
      </c>
      <c r="W273" s="13">
        <f>265459.65+350079.81</f>
        <v>615539.46</v>
      </c>
    </row>
    <row r="274" spans="1:23" ht="105" x14ac:dyDescent="0.25">
      <c r="A274" s="24" t="s">
        <v>929</v>
      </c>
      <c r="B274" s="16">
        <v>80204250585</v>
      </c>
      <c r="C274" s="27" t="s">
        <v>141</v>
      </c>
      <c r="D274" s="27" t="s">
        <v>930</v>
      </c>
      <c r="E274" s="22" t="s">
        <v>108</v>
      </c>
      <c r="Q274" s="21">
        <v>80005050507</v>
      </c>
      <c r="S274" s="27" t="s">
        <v>931</v>
      </c>
      <c r="T274" s="13">
        <v>50000</v>
      </c>
      <c r="U274" s="23">
        <v>44418</v>
      </c>
      <c r="V274" s="23">
        <v>44602</v>
      </c>
      <c r="W274" s="13">
        <f>271.96+271.96+9000+27000+9000</f>
        <v>45543.92</v>
      </c>
    </row>
    <row r="275" spans="1:23" ht="90" x14ac:dyDescent="0.25">
      <c r="A275" s="24" t="s">
        <v>932</v>
      </c>
      <c r="B275" s="16">
        <v>80204250585</v>
      </c>
      <c r="C275" s="27" t="s">
        <v>141</v>
      </c>
      <c r="D275" s="27" t="s">
        <v>933</v>
      </c>
      <c r="E275" s="22" t="s">
        <v>108</v>
      </c>
      <c r="Q275" s="21" t="s">
        <v>1585</v>
      </c>
      <c r="S275" s="27" t="s">
        <v>934</v>
      </c>
      <c r="T275" s="13">
        <v>4122.5</v>
      </c>
      <c r="U275" s="23">
        <v>44414</v>
      </c>
      <c r="V275" s="23">
        <v>44778</v>
      </c>
      <c r="W275" s="13">
        <v>5029.45</v>
      </c>
    </row>
    <row r="276" spans="1:23" ht="90" x14ac:dyDescent="0.25">
      <c r="A276" s="24" t="s">
        <v>935</v>
      </c>
      <c r="B276" s="16">
        <v>80204250585</v>
      </c>
      <c r="C276" s="27" t="s">
        <v>141</v>
      </c>
      <c r="D276" s="27" t="s">
        <v>936</v>
      </c>
      <c r="E276" s="22" t="s">
        <v>108</v>
      </c>
      <c r="S276" s="27" t="s">
        <v>937</v>
      </c>
      <c r="T276" s="13">
        <v>19900</v>
      </c>
      <c r="U276" s="23">
        <v>44444</v>
      </c>
      <c r="V276" s="23">
        <v>45504</v>
      </c>
      <c r="W276" s="13">
        <v>0</v>
      </c>
    </row>
    <row r="277" spans="1:23" ht="105" x14ac:dyDescent="0.25">
      <c r="A277" s="24" t="s">
        <v>938</v>
      </c>
      <c r="B277" s="16">
        <v>80204250585</v>
      </c>
      <c r="C277" s="27" t="s">
        <v>141</v>
      </c>
      <c r="D277" s="27" t="s">
        <v>939</v>
      </c>
      <c r="E277" s="22" t="s">
        <v>164</v>
      </c>
      <c r="I277" s="27" t="s">
        <v>940</v>
      </c>
      <c r="J277" s="22" t="s">
        <v>941</v>
      </c>
      <c r="L277" s="27" t="s">
        <v>942</v>
      </c>
      <c r="Q277" s="21" t="s">
        <v>907</v>
      </c>
      <c r="S277" s="27" t="s">
        <v>943</v>
      </c>
      <c r="T277" s="13">
        <v>116489.91</v>
      </c>
      <c r="U277" s="23">
        <v>44420</v>
      </c>
      <c r="V277" s="23">
        <v>44546</v>
      </c>
      <c r="W277" s="13">
        <f>127035.38+28337.33</f>
        <v>155372.71000000002</v>
      </c>
    </row>
    <row r="278" spans="1:23" ht="90" x14ac:dyDescent="0.25">
      <c r="A278" s="24" t="s">
        <v>944</v>
      </c>
      <c r="B278" s="16">
        <v>80204250585</v>
      </c>
      <c r="C278" s="27" t="s">
        <v>141</v>
      </c>
      <c r="D278" s="27" t="s">
        <v>945</v>
      </c>
      <c r="E278" s="22" t="s">
        <v>108</v>
      </c>
      <c r="J278" s="22" t="s">
        <v>946</v>
      </c>
      <c r="L278" s="27" t="s">
        <v>947</v>
      </c>
      <c r="Q278" s="21" t="s">
        <v>946</v>
      </c>
      <c r="S278" s="27" t="s">
        <v>947</v>
      </c>
      <c r="T278" s="13">
        <v>1299</v>
      </c>
      <c r="U278" s="23">
        <v>44407</v>
      </c>
      <c r="V278" s="23">
        <v>44418</v>
      </c>
      <c r="W278" s="13">
        <v>1584.78</v>
      </c>
    </row>
    <row r="279" spans="1:23" ht="135" x14ac:dyDescent="0.25">
      <c r="A279" s="24" t="s">
        <v>948</v>
      </c>
      <c r="B279" s="16">
        <v>80204250585</v>
      </c>
      <c r="C279" s="27" t="s">
        <v>141</v>
      </c>
      <c r="D279" s="27" t="s">
        <v>949</v>
      </c>
      <c r="E279" s="22" t="s">
        <v>108</v>
      </c>
      <c r="J279" s="22" t="s">
        <v>1597</v>
      </c>
      <c r="L279" s="27" t="s">
        <v>950</v>
      </c>
      <c r="Q279" s="22" t="s">
        <v>1597</v>
      </c>
      <c r="S279" s="27" t="s">
        <v>950</v>
      </c>
      <c r="T279" s="13">
        <v>2577</v>
      </c>
      <c r="U279" s="23">
        <v>44408</v>
      </c>
      <c r="V279" s="23">
        <v>44418</v>
      </c>
      <c r="W279" s="13">
        <v>3107.34</v>
      </c>
    </row>
    <row r="280" spans="1:23" ht="45" x14ac:dyDescent="0.25">
      <c r="A280" s="24" t="s">
        <v>951</v>
      </c>
      <c r="B280" s="16">
        <v>80204250585</v>
      </c>
      <c r="C280" s="27" t="s">
        <v>141</v>
      </c>
      <c r="D280" s="27" t="s">
        <v>952</v>
      </c>
      <c r="E280" s="22" t="s">
        <v>108</v>
      </c>
      <c r="S280" s="27" t="s">
        <v>953</v>
      </c>
      <c r="T280" s="13">
        <v>10534</v>
      </c>
      <c r="U280" s="23">
        <v>44466</v>
      </c>
      <c r="V280" s="23">
        <v>44832</v>
      </c>
      <c r="W280" s="13">
        <v>0</v>
      </c>
    </row>
    <row r="281" spans="1:23" ht="60" x14ac:dyDescent="0.25">
      <c r="A281" s="26" t="s">
        <v>954</v>
      </c>
      <c r="B281" s="16">
        <v>80204250585</v>
      </c>
      <c r="C281" s="27" t="s">
        <v>141</v>
      </c>
      <c r="D281" s="27" t="s">
        <v>955</v>
      </c>
      <c r="E281" s="22" t="s">
        <v>54</v>
      </c>
      <c r="F281" s="22"/>
      <c r="G281" s="22"/>
      <c r="H281" s="22"/>
      <c r="I281" s="22"/>
      <c r="K281" s="22"/>
      <c r="L281" s="22"/>
      <c r="M281" s="22"/>
      <c r="N281" s="21"/>
      <c r="O281" s="21"/>
      <c r="P281" s="22"/>
      <c r="R281" s="21"/>
      <c r="S281" s="22"/>
      <c r="T281" s="13">
        <v>0</v>
      </c>
      <c r="W281" s="13">
        <v>0</v>
      </c>
    </row>
    <row r="282" spans="1:23" ht="180" x14ac:dyDescent="0.25">
      <c r="A282" s="26" t="s">
        <v>956</v>
      </c>
      <c r="B282" s="16">
        <v>80204250585</v>
      </c>
      <c r="C282" s="27" t="s">
        <v>141</v>
      </c>
      <c r="D282" s="27" t="s">
        <v>957</v>
      </c>
      <c r="E282" s="22" t="s">
        <v>108</v>
      </c>
      <c r="F282" s="22"/>
      <c r="G282" s="22"/>
      <c r="H282" s="22"/>
      <c r="I282" s="22"/>
      <c r="K282" s="22"/>
      <c r="L282" s="22"/>
      <c r="M282" s="22"/>
      <c r="N282" s="21"/>
      <c r="O282" s="21"/>
      <c r="P282" s="22"/>
      <c r="Q282" s="21" t="s">
        <v>470</v>
      </c>
      <c r="S282" s="27" t="s">
        <v>471</v>
      </c>
      <c r="T282" s="13">
        <v>150000</v>
      </c>
      <c r="U282" s="23">
        <v>44470</v>
      </c>
      <c r="V282" s="23">
        <v>45199</v>
      </c>
      <c r="W282" s="13">
        <f>29008.18+2110.21+3812.06+4533.71+1962.24+2691.02+813.46+3698.45+3468.72+3046.04+1708.28+2125.16+3413.59+5792.71+8641.08</f>
        <v>76824.909999999989</v>
      </c>
    </row>
    <row r="283" spans="1:23" ht="105" x14ac:dyDescent="0.25">
      <c r="A283" s="26" t="s">
        <v>958</v>
      </c>
      <c r="B283" s="16">
        <v>80204250585</v>
      </c>
      <c r="C283" s="27" t="s">
        <v>141</v>
      </c>
      <c r="D283" s="27" t="s">
        <v>959</v>
      </c>
      <c r="E283" s="22" t="s">
        <v>658</v>
      </c>
      <c r="F283" s="22"/>
      <c r="G283" s="22"/>
      <c r="H283" s="22"/>
      <c r="I283" s="22"/>
      <c r="J283" s="22" t="s">
        <v>960</v>
      </c>
      <c r="K283" s="22"/>
      <c r="L283" s="22" t="s">
        <v>961</v>
      </c>
      <c r="M283" s="22"/>
      <c r="N283" s="21"/>
      <c r="O283" s="21"/>
      <c r="P283" s="22"/>
      <c r="Q283" s="21" t="s">
        <v>962</v>
      </c>
      <c r="R283" s="21"/>
      <c r="S283" s="22" t="s">
        <v>963</v>
      </c>
      <c r="T283" s="13">
        <v>146320.56</v>
      </c>
      <c r="U283" s="23">
        <v>44562</v>
      </c>
      <c r="V283" s="23">
        <v>44926</v>
      </c>
      <c r="W283" s="13">
        <f>36580.14+36580.14+36580.14</f>
        <v>109740.42</v>
      </c>
    </row>
    <row r="284" spans="1:23" ht="45" x14ac:dyDescent="0.25">
      <c r="A284" s="24" t="s">
        <v>964</v>
      </c>
      <c r="B284" s="21" t="s">
        <v>468</v>
      </c>
      <c r="C284" s="22" t="s">
        <v>48</v>
      </c>
      <c r="D284" s="22" t="s">
        <v>965</v>
      </c>
      <c r="E284" s="22" t="s">
        <v>108</v>
      </c>
      <c r="J284" s="22" t="s">
        <v>793</v>
      </c>
      <c r="L284" s="27" t="s">
        <v>966</v>
      </c>
      <c r="Q284" s="21" t="s">
        <v>793</v>
      </c>
      <c r="S284" s="27" t="s">
        <v>966</v>
      </c>
      <c r="T284" s="13">
        <v>18550</v>
      </c>
      <c r="U284" s="23">
        <v>44470</v>
      </c>
      <c r="V284" s="23">
        <v>44592</v>
      </c>
      <c r="W284" s="13">
        <v>15285.25</v>
      </c>
    </row>
    <row r="285" spans="1:23" ht="105" x14ac:dyDescent="0.25">
      <c r="A285" s="24" t="s">
        <v>967</v>
      </c>
      <c r="B285" s="21" t="s">
        <v>468</v>
      </c>
      <c r="C285" s="22" t="s">
        <v>48</v>
      </c>
      <c r="D285" s="27" t="s">
        <v>968</v>
      </c>
      <c r="E285" s="22" t="s">
        <v>108</v>
      </c>
      <c r="J285" s="22" t="s">
        <v>969</v>
      </c>
      <c r="L285" s="27" t="s">
        <v>970</v>
      </c>
      <c r="Q285" s="21" t="s">
        <v>969</v>
      </c>
      <c r="S285" s="27" t="s">
        <v>970</v>
      </c>
      <c r="T285" s="13">
        <v>47400</v>
      </c>
      <c r="U285" s="23">
        <v>44417</v>
      </c>
      <c r="V285" s="23">
        <v>44804</v>
      </c>
      <c r="W285" s="13">
        <f>26640+8880+8880</f>
        <v>44400</v>
      </c>
    </row>
    <row r="286" spans="1:23" ht="90" x14ac:dyDescent="0.25">
      <c r="A286" s="26" t="s">
        <v>971</v>
      </c>
      <c r="B286" s="21" t="s">
        <v>468</v>
      </c>
      <c r="C286" s="22" t="s">
        <v>48</v>
      </c>
      <c r="D286" s="27" t="s">
        <v>972</v>
      </c>
      <c r="E286" s="22" t="s">
        <v>108</v>
      </c>
      <c r="F286" s="22"/>
      <c r="G286" s="22"/>
      <c r="H286" s="22"/>
      <c r="I286" s="22"/>
      <c r="K286" s="22"/>
      <c r="L286" s="22"/>
      <c r="M286" s="22"/>
      <c r="N286" s="21"/>
      <c r="O286" s="21"/>
      <c r="P286" s="22"/>
      <c r="Q286" s="21" t="s">
        <v>973</v>
      </c>
      <c r="R286" s="21"/>
      <c r="S286" s="22" t="s">
        <v>974</v>
      </c>
      <c r="T286" s="13">
        <v>110000</v>
      </c>
      <c r="U286" s="23">
        <v>44317</v>
      </c>
      <c r="V286" s="23">
        <v>44926</v>
      </c>
      <c r="W286" s="13">
        <f>20494.09+1194.02+1866.97+2137.91+3256.48+2275+1951.15+543.36+3136.45+1818.55+1153.41+1471</f>
        <v>41298.390000000007</v>
      </c>
    </row>
    <row r="287" spans="1:23" ht="75" x14ac:dyDescent="0.25">
      <c r="A287" s="24" t="s">
        <v>975</v>
      </c>
      <c r="B287" s="16">
        <v>80204250585</v>
      </c>
      <c r="C287" s="27" t="s">
        <v>141</v>
      </c>
      <c r="D287" s="27" t="s">
        <v>976</v>
      </c>
      <c r="E287" s="22" t="s">
        <v>108</v>
      </c>
      <c r="J287" s="21" t="s">
        <v>1582</v>
      </c>
      <c r="L287" s="27" t="s">
        <v>977</v>
      </c>
      <c r="Q287" s="21" t="s">
        <v>1582</v>
      </c>
      <c r="S287" s="27" t="s">
        <v>977</v>
      </c>
      <c r="T287" s="13">
        <v>2758.75</v>
      </c>
      <c r="U287" s="23">
        <v>44481</v>
      </c>
      <c r="V287" s="23">
        <v>44484</v>
      </c>
      <c r="W287" s="13">
        <v>3365.67</v>
      </c>
    </row>
    <row r="288" spans="1:23" ht="165" x14ac:dyDescent="0.25">
      <c r="A288" s="24" t="s">
        <v>978</v>
      </c>
      <c r="B288" s="16">
        <v>80204250585</v>
      </c>
      <c r="C288" s="27" t="s">
        <v>141</v>
      </c>
      <c r="D288" s="27" t="s">
        <v>979</v>
      </c>
      <c r="E288" s="27" t="s">
        <v>50</v>
      </c>
      <c r="J288" s="22" t="s">
        <v>980</v>
      </c>
      <c r="L288" s="27" t="s">
        <v>981</v>
      </c>
      <c r="Q288" s="21" t="s">
        <v>980</v>
      </c>
      <c r="S288" s="27" t="s">
        <v>981</v>
      </c>
      <c r="T288" s="13">
        <v>1227760</v>
      </c>
      <c r="U288" s="23">
        <v>44470</v>
      </c>
      <c r="V288" s="23">
        <v>45199</v>
      </c>
      <c r="W288" s="13">
        <v>109610.06</v>
      </c>
    </row>
    <row r="289" spans="1:23" ht="150" x14ac:dyDescent="0.25">
      <c r="A289" s="24" t="s">
        <v>982</v>
      </c>
      <c r="B289" s="16">
        <v>80204250585</v>
      </c>
      <c r="C289" s="27" t="s">
        <v>141</v>
      </c>
      <c r="D289" s="27" t="s">
        <v>983</v>
      </c>
      <c r="E289" s="22" t="s">
        <v>108</v>
      </c>
      <c r="Q289" s="21">
        <v>10686030015</v>
      </c>
      <c r="S289" s="27" t="s">
        <v>499</v>
      </c>
      <c r="T289" s="13">
        <v>7040</v>
      </c>
      <c r="U289" s="23">
        <v>44510</v>
      </c>
      <c r="V289" s="23">
        <v>44895</v>
      </c>
      <c r="W289" s="13">
        <v>2200</v>
      </c>
    </row>
    <row r="290" spans="1:23" ht="150" x14ac:dyDescent="0.25">
      <c r="A290" s="24" t="s">
        <v>984</v>
      </c>
      <c r="B290" s="16">
        <v>80204250585</v>
      </c>
      <c r="C290" s="27" t="s">
        <v>141</v>
      </c>
      <c r="D290" s="27" t="s">
        <v>985</v>
      </c>
      <c r="E290" s="22" t="s">
        <v>108</v>
      </c>
      <c r="Q290" s="21" t="s">
        <v>622</v>
      </c>
      <c r="S290" s="27" t="s">
        <v>623</v>
      </c>
      <c r="T290" s="13">
        <v>6000</v>
      </c>
      <c r="U290" s="23">
        <v>44510</v>
      </c>
      <c r="V290" s="23">
        <v>44895</v>
      </c>
      <c r="W290" s="13">
        <f>2704.92+1081.97+1800</f>
        <v>5586.89</v>
      </c>
    </row>
    <row r="291" spans="1:23" ht="60" x14ac:dyDescent="0.25">
      <c r="A291" s="24" t="s">
        <v>986</v>
      </c>
      <c r="B291" s="16">
        <v>80204250585</v>
      </c>
      <c r="C291" s="27" t="s">
        <v>141</v>
      </c>
      <c r="D291" s="27" t="s">
        <v>1257</v>
      </c>
      <c r="E291" s="22" t="s">
        <v>108</v>
      </c>
      <c r="Q291" s="21" t="s">
        <v>88</v>
      </c>
      <c r="S291" s="27" t="s">
        <v>89</v>
      </c>
      <c r="T291" s="13">
        <v>16132</v>
      </c>
      <c r="U291" s="23">
        <v>44754</v>
      </c>
      <c r="V291" s="23">
        <v>44926</v>
      </c>
      <c r="W291" s="13">
        <v>8066</v>
      </c>
    </row>
    <row r="292" spans="1:23" ht="90" x14ac:dyDescent="0.25">
      <c r="A292" s="24" t="s">
        <v>987</v>
      </c>
      <c r="B292" s="16">
        <v>80204250585</v>
      </c>
      <c r="C292" s="27" t="s">
        <v>141</v>
      </c>
      <c r="D292" s="27" t="s">
        <v>988</v>
      </c>
      <c r="E292" s="22" t="s">
        <v>50</v>
      </c>
      <c r="F292" s="22"/>
      <c r="G292" s="22"/>
      <c r="H292" s="22"/>
      <c r="I292" s="22"/>
      <c r="K292" s="22"/>
      <c r="L292" s="22"/>
      <c r="M292" s="22"/>
      <c r="N292" s="21"/>
      <c r="O292" s="21"/>
      <c r="P292" s="22"/>
      <c r="R292" s="21"/>
      <c r="S292" s="22"/>
      <c r="T292" s="13">
        <v>0</v>
      </c>
      <c r="W292" s="13">
        <v>0</v>
      </c>
    </row>
    <row r="293" spans="1:23" ht="60" x14ac:dyDescent="0.25">
      <c r="A293" s="24" t="s">
        <v>989</v>
      </c>
      <c r="B293" s="16">
        <v>80204250585</v>
      </c>
      <c r="C293" s="27" t="s">
        <v>141</v>
      </c>
      <c r="D293" s="27" t="s">
        <v>990</v>
      </c>
      <c r="E293" s="22" t="s">
        <v>54</v>
      </c>
      <c r="F293" s="22"/>
      <c r="G293" s="22"/>
      <c r="H293" s="22"/>
      <c r="I293" s="22"/>
      <c r="K293" s="22"/>
      <c r="L293" s="22"/>
      <c r="M293" s="22"/>
      <c r="N293" s="21"/>
      <c r="O293" s="21"/>
      <c r="P293" s="22"/>
      <c r="Q293" s="21" t="s">
        <v>203</v>
      </c>
      <c r="R293" s="21"/>
      <c r="S293" s="22" t="s">
        <v>204</v>
      </c>
      <c r="T293" s="13">
        <v>255223.67999999999</v>
      </c>
      <c r="U293" s="23">
        <v>44562</v>
      </c>
      <c r="V293" s="23">
        <v>44926</v>
      </c>
      <c r="W293" s="13">
        <v>255223.67999999999</v>
      </c>
    </row>
    <row r="294" spans="1:23" ht="105" x14ac:dyDescent="0.25">
      <c r="A294" s="24" t="s">
        <v>991</v>
      </c>
      <c r="B294" s="16">
        <v>80204250585</v>
      </c>
      <c r="C294" s="27" t="s">
        <v>141</v>
      </c>
      <c r="D294" s="27" t="s">
        <v>992</v>
      </c>
      <c r="E294" s="22" t="s">
        <v>54</v>
      </c>
      <c r="J294" s="22">
        <v>10556200961</v>
      </c>
      <c r="L294" s="27" t="s">
        <v>993</v>
      </c>
      <c r="Q294" s="21">
        <v>10556200961</v>
      </c>
      <c r="S294" s="27" t="s">
        <v>735</v>
      </c>
      <c r="T294" s="13">
        <v>10600</v>
      </c>
      <c r="U294" s="23">
        <v>44562</v>
      </c>
      <c r="V294" s="23">
        <v>44926</v>
      </c>
      <c r="W294" s="13">
        <f>2650*2+2650+2650</f>
        <v>10600</v>
      </c>
    </row>
    <row r="295" spans="1:23" ht="45" x14ac:dyDescent="0.25">
      <c r="A295" s="24" t="s">
        <v>994</v>
      </c>
      <c r="B295" s="16">
        <v>80204250585</v>
      </c>
      <c r="C295" s="27" t="s">
        <v>141</v>
      </c>
      <c r="D295" s="27" t="s">
        <v>995</v>
      </c>
      <c r="E295" s="22" t="s">
        <v>108</v>
      </c>
      <c r="Q295" s="21" t="s">
        <v>435</v>
      </c>
      <c r="S295" s="27" t="s">
        <v>996</v>
      </c>
      <c r="T295" s="13">
        <v>10000</v>
      </c>
      <c r="U295" s="23">
        <v>44562</v>
      </c>
      <c r="V295" s="23">
        <v>44926</v>
      </c>
      <c r="W295" s="13">
        <f>12200/122*100</f>
        <v>10000</v>
      </c>
    </row>
    <row r="296" spans="1:23" ht="60" x14ac:dyDescent="0.25">
      <c r="A296" s="24" t="s">
        <v>997</v>
      </c>
      <c r="B296" s="16">
        <v>80204250585</v>
      </c>
      <c r="C296" s="27" t="s">
        <v>141</v>
      </c>
      <c r="D296" s="27" t="s">
        <v>998</v>
      </c>
      <c r="E296" s="22" t="s">
        <v>108</v>
      </c>
      <c r="Q296" s="21" t="s">
        <v>435</v>
      </c>
      <c r="S296" s="27" t="s">
        <v>996</v>
      </c>
      <c r="T296" s="13">
        <v>5000</v>
      </c>
      <c r="U296" s="23">
        <v>44562</v>
      </c>
      <c r="V296" s="23">
        <v>44926</v>
      </c>
      <c r="W296" s="13">
        <f>6100/122*100</f>
        <v>5000</v>
      </c>
    </row>
    <row r="297" spans="1:23" ht="120" x14ac:dyDescent="0.25">
      <c r="A297" s="26" t="s">
        <v>999</v>
      </c>
      <c r="B297" s="16">
        <v>80204250585</v>
      </c>
      <c r="C297" s="27" t="s">
        <v>141</v>
      </c>
      <c r="D297" s="27" t="s">
        <v>1000</v>
      </c>
      <c r="E297" s="22" t="s">
        <v>54</v>
      </c>
      <c r="J297" s="22" t="s">
        <v>488</v>
      </c>
      <c r="L297" s="27" t="s">
        <v>1001</v>
      </c>
      <c r="Q297" s="22" t="s">
        <v>488</v>
      </c>
      <c r="S297" s="27" t="s">
        <v>489</v>
      </c>
      <c r="T297" s="13">
        <v>18000</v>
      </c>
      <c r="U297" s="23">
        <v>44562</v>
      </c>
      <c r="V297" s="23">
        <v>44926</v>
      </c>
      <c r="W297" s="13">
        <f>10000+860.9</f>
        <v>10860.9</v>
      </c>
    </row>
    <row r="298" spans="1:23" ht="165" x14ac:dyDescent="0.25">
      <c r="A298" s="24" t="s">
        <v>1002</v>
      </c>
      <c r="B298" s="16">
        <v>80204250585</v>
      </c>
      <c r="C298" s="27" t="s">
        <v>141</v>
      </c>
      <c r="D298" s="27" t="s">
        <v>1003</v>
      </c>
      <c r="E298" s="22" t="s">
        <v>54</v>
      </c>
      <c r="J298" s="22">
        <v>10100001006</v>
      </c>
      <c r="L298" s="27" t="s">
        <v>1004</v>
      </c>
      <c r="Q298" s="21">
        <v>10100001006</v>
      </c>
      <c r="S298" s="27" t="s">
        <v>709</v>
      </c>
      <c r="T298" s="13">
        <v>13400</v>
      </c>
      <c r="U298" s="23">
        <v>44562</v>
      </c>
      <c r="V298" s="23">
        <v>44926</v>
      </c>
      <c r="W298" s="13">
        <f>3350+3350+3350+3350</f>
        <v>13400</v>
      </c>
    </row>
    <row r="299" spans="1:23" ht="165" x14ac:dyDescent="0.25">
      <c r="A299" s="24" t="s">
        <v>1005</v>
      </c>
      <c r="B299" s="16">
        <v>80204250585</v>
      </c>
      <c r="C299" s="27" t="s">
        <v>141</v>
      </c>
      <c r="D299" s="27" t="s">
        <v>1006</v>
      </c>
      <c r="E299" s="22" t="s">
        <v>54</v>
      </c>
      <c r="J299" s="22">
        <v>10100001006</v>
      </c>
      <c r="L299" s="27" t="s">
        <v>1007</v>
      </c>
      <c r="Q299" s="21">
        <v>10100001006</v>
      </c>
      <c r="S299" s="27" t="s">
        <v>709</v>
      </c>
      <c r="T299" s="13">
        <v>18600</v>
      </c>
      <c r="U299" s="23">
        <v>44562</v>
      </c>
      <c r="V299" s="23">
        <v>44926</v>
      </c>
      <c r="W299" s="13">
        <f>4650+4650+4650+4650</f>
        <v>18600</v>
      </c>
    </row>
    <row r="300" spans="1:23" ht="165" x14ac:dyDescent="0.25">
      <c r="A300" s="24" t="s">
        <v>1008</v>
      </c>
      <c r="B300" s="16">
        <v>80204250585</v>
      </c>
      <c r="C300" s="27" t="s">
        <v>141</v>
      </c>
      <c r="D300" s="27" t="s">
        <v>1009</v>
      </c>
      <c r="E300" s="22" t="s">
        <v>54</v>
      </c>
      <c r="J300" s="22">
        <v>10556200961</v>
      </c>
      <c r="L300" s="27" t="s">
        <v>993</v>
      </c>
      <c r="Q300" s="21">
        <v>10556200961</v>
      </c>
      <c r="S300" s="27" t="s">
        <v>735</v>
      </c>
      <c r="T300" s="13">
        <v>39000</v>
      </c>
      <c r="U300" s="23">
        <v>44562</v>
      </c>
      <c r="V300" s="23">
        <v>44926</v>
      </c>
      <c r="W300" s="13">
        <f>9750+9750+9750+9750</f>
        <v>39000</v>
      </c>
    </row>
    <row r="301" spans="1:23" ht="135" x14ac:dyDescent="0.25">
      <c r="A301" s="24" t="s">
        <v>1010</v>
      </c>
      <c r="B301" s="16">
        <v>80204250585</v>
      </c>
      <c r="C301" s="27" t="s">
        <v>141</v>
      </c>
      <c r="D301" s="27" t="s">
        <v>1011</v>
      </c>
      <c r="E301" s="22" t="s">
        <v>54</v>
      </c>
      <c r="J301" s="22" t="s">
        <v>1401</v>
      </c>
      <c r="L301" s="27" t="s">
        <v>1012</v>
      </c>
      <c r="Q301" s="22" t="s">
        <v>1401</v>
      </c>
      <c r="S301" s="27" t="s">
        <v>732</v>
      </c>
      <c r="T301" s="13">
        <v>5500</v>
      </c>
      <c r="U301" s="23">
        <v>44562</v>
      </c>
      <c r="V301" s="23">
        <v>44926</v>
      </c>
      <c r="W301" s="13">
        <f>1375+1375+1375+1375</f>
        <v>5500</v>
      </c>
    </row>
    <row r="302" spans="1:23" ht="90" x14ac:dyDescent="0.25">
      <c r="A302" s="24" t="s">
        <v>1013</v>
      </c>
      <c r="B302" s="16">
        <v>80204250585</v>
      </c>
      <c r="C302" s="27" t="s">
        <v>141</v>
      </c>
      <c r="D302" s="27" t="s">
        <v>1014</v>
      </c>
      <c r="E302" s="27" t="s">
        <v>50</v>
      </c>
      <c r="J302" s="21" t="s">
        <v>369</v>
      </c>
      <c r="L302" s="27" t="s">
        <v>1015</v>
      </c>
      <c r="Q302" s="21" t="s">
        <v>369</v>
      </c>
      <c r="S302" s="27" t="s">
        <v>557</v>
      </c>
      <c r="T302" s="13">
        <v>71975.34</v>
      </c>
      <c r="U302" s="23">
        <v>44562</v>
      </c>
      <c r="V302" s="23">
        <v>45657</v>
      </c>
      <c r="W302" s="13">
        <f>23991.78+23991.78</f>
        <v>47983.56</v>
      </c>
    </row>
    <row r="303" spans="1:23" ht="225" x14ac:dyDescent="0.25">
      <c r="A303" s="24" t="s">
        <v>1016</v>
      </c>
      <c r="B303" s="16">
        <v>80204250585</v>
      </c>
      <c r="C303" s="27" t="s">
        <v>141</v>
      </c>
      <c r="D303" s="27" t="s">
        <v>1017</v>
      </c>
      <c r="E303" s="22" t="s">
        <v>54</v>
      </c>
      <c r="J303" s="22">
        <v>13211660157</v>
      </c>
      <c r="L303" s="27" t="s">
        <v>1018</v>
      </c>
      <c r="Q303" s="21">
        <v>13211660157</v>
      </c>
      <c r="S303" s="27" t="s">
        <v>481</v>
      </c>
      <c r="T303" s="13">
        <v>12000</v>
      </c>
      <c r="U303" s="23">
        <v>44562</v>
      </c>
      <c r="V303" s="23">
        <v>44926</v>
      </c>
      <c r="W303" s="13">
        <f>3000+3000+3000+3000</f>
        <v>12000</v>
      </c>
    </row>
    <row r="304" spans="1:23" ht="90" x14ac:dyDescent="0.25">
      <c r="A304" s="24" t="s">
        <v>1020</v>
      </c>
      <c r="B304" s="16">
        <v>80204250585</v>
      </c>
      <c r="C304" s="27" t="s">
        <v>141</v>
      </c>
      <c r="D304" s="27" t="s">
        <v>1021</v>
      </c>
      <c r="E304" s="22" t="s">
        <v>54</v>
      </c>
      <c r="Q304" s="21" t="s">
        <v>1486</v>
      </c>
      <c r="S304" s="27" t="s">
        <v>1022</v>
      </c>
      <c r="T304" s="13">
        <v>4776.8900000000003</v>
      </c>
      <c r="U304" s="23">
        <v>44512</v>
      </c>
      <c r="V304" s="23">
        <v>44877</v>
      </c>
      <c r="W304" s="13">
        <v>4776.8900000000003</v>
      </c>
    </row>
    <row r="305" spans="1:23" ht="90" x14ac:dyDescent="0.25">
      <c r="A305" s="24" t="s">
        <v>1025</v>
      </c>
      <c r="B305" s="16">
        <v>80204250585</v>
      </c>
      <c r="C305" s="27" t="s">
        <v>141</v>
      </c>
      <c r="D305" s="27" t="s">
        <v>1026</v>
      </c>
      <c r="E305" s="27" t="s">
        <v>50</v>
      </c>
      <c r="Q305" s="21" t="s">
        <v>88</v>
      </c>
      <c r="S305" s="27" t="s">
        <v>721</v>
      </c>
      <c r="T305" s="13">
        <v>63866.2</v>
      </c>
      <c r="U305" s="23">
        <v>44531</v>
      </c>
      <c r="V305" s="23">
        <v>45626</v>
      </c>
      <c r="W305" s="13">
        <v>63866.19</v>
      </c>
    </row>
    <row r="306" spans="1:23" ht="75" x14ac:dyDescent="0.25">
      <c r="A306" s="24" t="s">
        <v>1027</v>
      </c>
      <c r="B306" s="16">
        <v>80204250585</v>
      </c>
      <c r="C306" s="27" t="s">
        <v>141</v>
      </c>
      <c r="D306" s="27" t="s">
        <v>1028</v>
      </c>
      <c r="E306" s="22" t="s">
        <v>108</v>
      </c>
      <c r="Q306" s="21" t="s">
        <v>352</v>
      </c>
      <c r="S306" s="27" t="s">
        <v>353</v>
      </c>
      <c r="T306" s="13">
        <v>15750</v>
      </c>
      <c r="U306" s="23">
        <v>44539</v>
      </c>
      <c r="V306" s="23">
        <v>45634</v>
      </c>
      <c r="W306" s="13">
        <v>15750</v>
      </c>
    </row>
    <row r="307" spans="1:23" ht="165" x14ac:dyDescent="0.25">
      <c r="A307" s="24" t="s">
        <v>1029</v>
      </c>
      <c r="B307" s="16">
        <v>80204250585</v>
      </c>
      <c r="C307" s="27" t="s">
        <v>141</v>
      </c>
      <c r="D307" s="27" t="s">
        <v>1030</v>
      </c>
      <c r="E307" s="22" t="s">
        <v>54</v>
      </c>
      <c r="L307" s="27" t="s">
        <v>1031</v>
      </c>
      <c r="S307" s="27" t="s">
        <v>304</v>
      </c>
      <c r="T307" s="13">
        <v>43600</v>
      </c>
      <c r="U307" s="23">
        <v>44562</v>
      </c>
      <c r="V307" s="23">
        <v>44926</v>
      </c>
      <c r="W307" s="13">
        <v>0</v>
      </c>
    </row>
    <row r="308" spans="1:23" ht="60" x14ac:dyDescent="0.25">
      <c r="A308" s="24" t="s">
        <v>1032</v>
      </c>
      <c r="B308" s="16">
        <v>80204250585</v>
      </c>
      <c r="C308" s="27" t="s">
        <v>141</v>
      </c>
      <c r="D308" s="27" t="s">
        <v>1033</v>
      </c>
      <c r="E308" s="22" t="s">
        <v>54</v>
      </c>
      <c r="Q308" s="32" t="s">
        <v>309</v>
      </c>
      <c r="S308" s="27" t="s">
        <v>310</v>
      </c>
      <c r="T308" s="13">
        <v>16230</v>
      </c>
      <c r="U308" s="23">
        <v>44562</v>
      </c>
      <c r="V308" s="23">
        <v>44926</v>
      </c>
      <c r="W308" s="13">
        <f>8115+8115</f>
        <v>16230</v>
      </c>
    </row>
    <row r="309" spans="1:23" ht="60" x14ac:dyDescent="0.25">
      <c r="A309" s="24" t="s">
        <v>1034</v>
      </c>
      <c r="B309" s="16">
        <v>80204250585</v>
      </c>
      <c r="C309" s="27" t="s">
        <v>141</v>
      </c>
      <c r="D309" s="27" t="s">
        <v>1035</v>
      </c>
      <c r="E309" s="22" t="s">
        <v>54</v>
      </c>
      <c r="Q309" s="21" t="s">
        <v>1594</v>
      </c>
      <c r="S309" s="27" t="s">
        <v>716</v>
      </c>
      <c r="T309" s="13">
        <v>30000</v>
      </c>
      <c r="U309" s="23">
        <v>44562</v>
      </c>
      <c r="V309" s="23">
        <v>44926</v>
      </c>
      <c r="W309" s="13">
        <f>15000+15000</f>
        <v>30000</v>
      </c>
    </row>
    <row r="310" spans="1:23" ht="60" x14ac:dyDescent="0.25">
      <c r="A310" s="24" t="s">
        <v>1036</v>
      </c>
      <c r="B310" s="16">
        <v>80204250585</v>
      </c>
      <c r="C310" s="27" t="s">
        <v>141</v>
      </c>
      <c r="D310" s="27" t="s">
        <v>1037</v>
      </c>
      <c r="E310" s="22" t="s">
        <v>54</v>
      </c>
      <c r="Q310" s="32" t="s">
        <v>1577</v>
      </c>
      <c r="S310" s="27" t="s">
        <v>712</v>
      </c>
      <c r="T310" s="13">
        <v>35870.43</v>
      </c>
      <c r="U310" s="23">
        <v>44562</v>
      </c>
      <c r="V310" s="23">
        <v>44926</v>
      </c>
      <c r="W310" s="13">
        <f>17935.22+17935.22</f>
        <v>35870.44</v>
      </c>
    </row>
    <row r="311" spans="1:23" ht="60" x14ac:dyDescent="0.25">
      <c r="A311" s="24" t="s">
        <v>1036</v>
      </c>
      <c r="B311" s="16">
        <v>80204250585</v>
      </c>
      <c r="C311" s="27" t="s">
        <v>141</v>
      </c>
      <c r="D311" s="27" t="s">
        <v>1038</v>
      </c>
      <c r="E311" s="22" t="s">
        <v>54</v>
      </c>
      <c r="Q311" s="32" t="s">
        <v>1577</v>
      </c>
      <c r="S311" s="27" t="s">
        <v>712</v>
      </c>
      <c r="T311" s="13">
        <v>759</v>
      </c>
      <c r="U311" s="23">
        <v>44562</v>
      </c>
      <c r="V311" s="23">
        <v>44926</v>
      </c>
      <c r="W311" s="13">
        <f>379.5+379.5</f>
        <v>759</v>
      </c>
    </row>
    <row r="312" spans="1:23" ht="60" x14ac:dyDescent="0.25">
      <c r="A312" s="24" t="s">
        <v>1039</v>
      </c>
      <c r="B312" s="16">
        <v>80204250585</v>
      </c>
      <c r="C312" s="27" t="s">
        <v>141</v>
      </c>
      <c r="D312" s="27" t="s">
        <v>1040</v>
      </c>
      <c r="E312" s="22" t="s">
        <v>54</v>
      </c>
      <c r="Q312" s="32" t="s">
        <v>484</v>
      </c>
      <c r="S312" s="27" t="s">
        <v>722</v>
      </c>
      <c r="T312" s="13">
        <v>65000</v>
      </c>
      <c r="U312" s="23">
        <v>44562</v>
      </c>
      <c r="V312" s="23">
        <v>44926</v>
      </c>
      <c r="W312" s="13">
        <f>16168.75+16168.75+16168.75+16168.75+81.25*4</f>
        <v>65000</v>
      </c>
    </row>
    <row r="313" spans="1:23" ht="60" x14ac:dyDescent="0.25">
      <c r="A313" s="24" t="s">
        <v>1041</v>
      </c>
      <c r="B313" s="16">
        <v>80204250585</v>
      </c>
      <c r="C313" s="27" t="s">
        <v>141</v>
      </c>
      <c r="D313" s="27" t="s">
        <v>1348</v>
      </c>
      <c r="E313" s="22" t="s">
        <v>54</v>
      </c>
      <c r="J313" s="22">
        <v>3771690967</v>
      </c>
      <c r="L313" s="27" t="s">
        <v>1042</v>
      </c>
      <c r="Q313" s="21" t="s">
        <v>492</v>
      </c>
      <c r="S313" s="27" t="s">
        <v>493</v>
      </c>
      <c r="T313" s="13">
        <v>284529.84000000003</v>
      </c>
      <c r="U313" s="23">
        <v>44562</v>
      </c>
      <c r="V313" s="23">
        <v>44926</v>
      </c>
      <c r="W313" s="13">
        <f>24000+45780+45780+24000+50580-4800+28800-4800+45780+24000</f>
        <v>279120</v>
      </c>
    </row>
    <row r="314" spans="1:23" ht="180" x14ac:dyDescent="0.25">
      <c r="A314" s="24" t="s">
        <v>1043</v>
      </c>
      <c r="B314" s="16">
        <v>80204250585</v>
      </c>
      <c r="C314" s="27" t="s">
        <v>141</v>
      </c>
      <c r="D314" s="27" t="s">
        <v>1044</v>
      </c>
      <c r="E314" s="22" t="s">
        <v>108</v>
      </c>
      <c r="J314" s="22">
        <v>3771690967</v>
      </c>
      <c r="L314" s="27" t="s">
        <v>1042</v>
      </c>
      <c r="Q314" s="21" t="s">
        <v>492</v>
      </c>
      <c r="S314" s="27" t="s">
        <v>493</v>
      </c>
      <c r="T314" s="13">
        <v>38400</v>
      </c>
      <c r="U314" s="23">
        <v>44562</v>
      </c>
      <c r="V314" s="23">
        <v>44926</v>
      </c>
      <c r="W314" s="13">
        <f>9600+9600+9600+9600</f>
        <v>38400</v>
      </c>
    </row>
    <row r="315" spans="1:23" ht="150" x14ac:dyDescent="0.25">
      <c r="A315" s="24" t="s">
        <v>1045</v>
      </c>
      <c r="B315" s="16">
        <v>80204250585</v>
      </c>
      <c r="C315" s="27" t="s">
        <v>141</v>
      </c>
      <c r="D315" s="27" t="s">
        <v>1559</v>
      </c>
      <c r="E315" s="22" t="s">
        <v>108</v>
      </c>
      <c r="J315" s="22" t="s">
        <v>1046</v>
      </c>
      <c r="L315" s="27" t="s">
        <v>1047</v>
      </c>
      <c r="Q315" s="21" t="s">
        <v>1046</v>
      </c>
      <c r="S315" s="27" t="s">
        <v>1047</v>
      </c>
      <c r="T315" s="13">
        <v>39500</v>
      </c>
      <c r="U315" s="23">
        <v>44571</v>
      </c>
      <c r="V315" s="23">
        <v>44630</v>
      </c>
      <c r="W315" s="13">
        <f>39500+19068.65</f>
        <v>58568.65</v>
      </c>
    </row>
    <row r="316" spans="1:23" ht="165" x14ac:dyDescent="0.25">
      <c r="A316" s="24" t="s">
        <v>1048</v>
      </c>
      <c r="B316" s="16">
        <v>80204250585</v>
      </c>
      <c r="C316" s="27" t="s">
        <v>141</v>
      </c>
      <c r="D316" s="27" t="s">
        <v>1049</v>
      </c>
      <c r="E316" s="27" t="s">
        <v>50</v>
      </c>
      <c r="M316" s="27" t="s">
        <v>1050</v>
      </c>
      <c r="O316" s="16" t="s">
        <v>1051</v>
      </c>
      <c r="P316" s="27" t="s">
        <v>66</v>
      </c>
      <c r="S316" s="27" t="s">
        <v>1052</v>
      </c>
      <c r="T316" s="13">
        <v>63900</v>
      </c>
      <c r="U316" s="23">
        <v>44578</v>
      </c>
      <c r="V316" s="23">
        <v>44650</v>
      </c>
      <c r="W316" s="13">
        <f>19170+1800+12780+40050</f>
        <v>73800</v>
      </c>
    </row>
    <row r="317" spans="1:23" ht="90" x14ac:dyDescent="0.25">
      <c r="A317" s="24" t="s">
        <v>1053</v>
      </c>
      <c r="B317" s="16">
        <v>80204250585</v>
      </c>
      <c r="C317" s="27" t="s">
        <v>141</v>
      </c>
      <c r="D317" s="27" t="s">
        <v>1054</v>
      </c>
      <c r="E317" s="22" t="s">
        <v>658</v>
      </c>
      <c r="J317" s="22">
        <v>10420010968</v>
      </c>
      <c r="L317" s="27" t="s">
        <v>1055</v>
      </c>
      <c r="S317" s="27" t="s">
        <v>1056</v>
      </c>
      <c r="T317" s="13">
        <v>153807</v>
      </c>
      <c r="U317" s="23">
        <v>44562</v>
      </c>
      <c r="V317" s="23">
        <v>44926</v>
      </c>
      <c r="W317" s="13">
        <v>76903.5</v>
      </c>
    </row>
    <row r="318" spans="1:23" ht="60" x14ac:dyDescent="0.25">
      <c r="A318" s="26" t="s">
        <v>1057</v>
      </c>
      <c r="B318" s="16">
        <v>80204250585</v>
      </c>
      <c r="C318" s="27" t="s">
        <v>141</v>
      </c>
      <c r="D318" s="27" t="s">
        <v>1058</v>
      </c>
      <c r="E318" s="22" t="s">
        <v>54</v>
      </c>
      <c r="F318" s="22"/>
      <c r="G318" s="22"/>
      <c r="H318" s="22"/>
      <c r="I318" s="22"/>
      <c r="J318" s="22" t="s">
        <v>136</v>
      </c>
      <c r="K318" s="22"/>
      <c r="L318" s="27" t="s">
        <v>137</v>
      </c>
      <c r="M318" s="22"/>
      <c r="N318" s="21"/>
      <c r="O318" s="21"/>
      <c r="P318" s="22"/>
      <c r="Q318" s="21" t="s">
        <v>136</v>
      </c>
      <c r="R318" s="21"/>
      <c r="S318" s="27" t="s">
        <v>137</v>
      </c>
      <c r="T318" s="13">
        <v>128240</v>
      </c>
      <c r="U318" s="23">
        <v>44549</v>
      </c>
      <c r="V318" s="23">
        <v>46009</v>
      </c>
      <c r="W318" s="13">
        <f>10974.85+834.44+76903.5+10974.85 +10974.85</f>
        <v>110662.49000000002</v>
      </c>
    </row>
    <row r="319" spans="1:23" ht="75" customHeight="1" x14ac:dyDescent="0.25">
      <c r="A319" s="26" t="s">
        <v>1059</v>
      </c>
      <c r="B319" s="16">
        <v>80204250585</v>
      </c>
      <c r="C319" s="27" t="s">
        <v>141</v>
      </c>
      <c r="D319" s="27" t="s">
        <v>1349</v>
      </c>
      <c r="E319" s="22" t="s">
        <v>54</v>
      </c>
      <c r="F319" s="22"/>
      <c r="G319" s="22"/>
      <c r="H319" s="22"/>
      <c r="I319" s="22"/>
      <c r="K319" s="22"/>
      <c r="L319" s="22"/>
      <c r="M319" s="22"/>
      <c r="N319" s="21"/>
      <c r="O319" s="21"/>
      <c r="P319" s="22"/>
      <c r="R319" s="21"/>
      <c r="S319" s="27" t="s">
        <v>306</v>
      </c>
      <c r="T319" s="13">
        <v>35400</v>
      </c>
      <c r="U319" s="23">
        <v>44562</v>
      </c>
      <c r="V319" s="23">
        <v>44926</v>
      </c>
      <c r="W319" s="13">
        <v>35400</v>
      </c>
    </row>
    <row r="320" spans="1:23" ht="90" x14ac:dyDescent="0.25">
      <c r="A320" s="24" t="s">
        <v>1061</v>
      </c>
      <c r="B320" s="16">
        <v>80204250585</v>
      </c>
      <c r="C320" s="27" t="s">
        <v>141</v>
      </c>
      <c r="D320" s="27" t="s">
        <v>1062</v>
      </c>
      <c r="E320" s="27" t="s">
        <v>108</v>
      </c>
      <c r="Q320" s="21">
        <v>13014760154</v>
      </c>
      <c r="S320" s="27" t="s">
        <v>708</v>
      </c>
      <c r="T320" s="13">
        <v>7200</v>
      </c>
      <c r="U320" s="23">
        <v>44621</v>
      </c>
      <c r="V320" s="23">
        <v>44712</v>
      </c>
      <c r="W320" s="13">
        <f>900+900</f>
        <v>1800</v>
      </c>
    </row>
    <row r="321" spans="1:23" ht="120" x14ac:dyDescent="0.25">
      <c r="A321" s="24" t="s">
        <v>1063</v>
      </c>
      <c r="B321" s="16">
        <v>80204250585</v>
      </c>
      <c r="C321" s="27" t="s">
        <v>141</v>
      </c>
      <c r="D321" s="27" t="s">
        <v>1064</v>
      </c>
      <c r="E321" s="27" t="s">
        <v>50</v>
      </c>
      <c r="Q321" s="21" t="s">
        <v>352</v>
      </c>
      <c r="S321" s="27" t="s">
        <v>353</v>
      </c>
      <c r="T321" s="13">
        <v>13527.25</v>
      </c>
      <c r="U321" s="23">
        <v>44652</v>
      </c>
      <c r="V321" s="23">
        <v>45747</v>
      </c>
      <c r="W321" s="13">
        <v>11560</v>
      </c>
    </row>
    <row r="322" spans="1:23" ht="90" x14ac:dyDescent="0.25">
      <c r="A322" s="24" t="s">
        <v>1023</v>
      </c>
      <c r="B322" s="16">
        <v>80204250585</v>
      </c>
      <c r="C322" s="27" t="s">
        <v>141</v>
      </c>
      <c r="D322" s="27" t="s">
        <v>1024</v>
      </c>
      <c r="E322" s="27" t="s">
        <v>50</v>
      </c>
      <c r="Q322" s="21" t="s">
        <v>88</v>
      </c>
      <c r="S322" s="27" t="s">
        <v>721</v>
      </c>
      <c r="T322" s="13">
        <v>31526.5</v>
      </c>
      <c r="U322" s="23">
        <v>44593</v>
      </c>
      <c r="V322" s="23">
        <v>44957</v>
      </c>
      <c r="W322" s="13">
        <f>7881.62+7881.58+7881.63+7881.63</f>
        <v>31526.460000000003</v>
      </c>
    </row>
    <row r="323" spans="1:23" ht="75" x14ac:dyDescent="0.25">
      <c r="A323" s="24" t="s">
        <v>1066</v>
      </c>
      <c r="B323" s="16">
        <v>80204250585</v>
      </c>
      <c r="C323" s="27" t="s">
        <v>141</v>
      </c>
      <c r="D323" s="27" t="s">
        <v>1067</v>
      </c>
      <c r="E323" s="27" t="s">
        <v>108</v>
      </c>
      <c r="Q323" s="21">
        <v>11673301005</v>
      </c>
      <c r="S323" s="27" t="s">
        <v>87</v>
      </c>
      <c r="T323" s="13">
        <v>73500</v>
      </c>
      <c r="U323" s="23">
        <v>44642</v>
      </c>
      <c r="V323" s="23">
        <v>45372</v>
      </c>
      <c r="W323" s="13">
        <f>9187.5+9187.5+9187.5+9187.5+9187.75</f>
        <v>45937.75</v>
      </c>
    </row>
    <row r="324" spans="1:23" ht="105" x14ac:dyDescent="0.25">
      <c r="A324" s="24" t="s">
        <v>1068</v>
      </c>
      <c r="B324" s="16">
        <v>80204250585</v>
      </c>
      <c r="C324" s="27" t="s">
        <v>141</v>
      </c>
      <c r="D324" s="27" t="s">
        <v>1069</v>
      </c>
      <c r="E324" s="22" t="s">
        <v>54</v>
      </c>
      <c r="J324" s="22">
        <v>8586300157</v>
      </c>
      <c r="L324" s="27" t="s">
        <v>1070</v>
      </c>
      <c r="Q324" s="21" t="s">
        <v>149</v>
      </c>
      <c r="S324" s="27" t="s">
        <v>150</v>
      </c>
      <c r="T324" s="13">
        <v>66000</v>
      </c>
      <c r="U324" s="23">
        <v>44613</v>
      </c>
      <c r="V324" s="23">
        <v>44977</v>
      </c>
      <c r="W324" s="13">
        <f>33000+33000+3500</f>
        <v>69500</v>
      </c>
    </row>
    <row r="325" spans="1:23" ht="90" x14ac:dyDescent="0.25">
      <c r="A325" s="24" t="s">
        <v>1072</v>
      </c>
      <c r="B325" s="16">
        <v>80204250585</v>
      </c>
      <c r="C325" s="27" t="s">
        <v>141</v>
      </c>
      <c r="D325" s="27" t="s">
        <v>1073</v>
      </c>
      <c r="E325" s="27" t="s">
        <v>50</v>
      </c>
      <c r="J325" s="21" t="s">
        <v>1580</v>
      </c>
      <c r="L325" s="27" t="s">
        <v>1576</v>
      </c>
      <c r="Q325" s="21" t="s">
        <v>1580</v>
      </c>
      <c r="S325" s="27" t="s">
        <v>1576</v>
      </c>
      <c r="T325" s="13">
        <v>5114.75</v>
      </c>
      <c r="U325" s="23">
        <v>44573</v>
      </c>
      <c r="V325" s="23">
        <v>45626</v>
      </c>
      <c r="W325" s="13">
        <v>0</v>
      </c>
    </row>
    <row r="326" spans="1:23" ht="75" x14ac:dyDescent="0.25">
      <c r="A326" s="26" t="s">
        <v>1074</v>
      </c>
      <c r="B326" s="16">
        <v>80204250585</v>
      </c>
      <c r="C326" s="27" t="s">
        <v>141</v>
      </c>
      <c r="D326" s="22" t="s">
        <v>1075</v>
      </c>
      <c r="E326" s="27" t="s">
        <v>108</v>
      </c>
      <c r="F326" s="22"/>
      <c r="G326" s="22"/>
      <c r="H326" s="22"/>
      <c r="I326" s="22"/>
      <c r="K326" s="22"/>
      <c r="L326" s="22"/>
      <c r="M326" s="22"/>
      <c r="N326" s="21"/>
      <c r="O326" s="21"/>
      <c r="P326" s="22"/>
      <c r="R326" s="21"/>
      <c r="S326" s="27" t="s">
        <v>1076</v>
      </c>
      <c r="T326" s="13">
        <v>2099.5</v>
      </c>
      <c r="U326" s="23">
        <v>44652</v>
      </c>
      <c r="V326" s="23">
        <v>44742</v>
      </c>
      <c r="W326" s="13">
        <v>0</v>
      </c>
    </row>
    <row r="327" spans="1:23" ht="90" x14ac:dyDescent="0.25">
      <c r="A327" s="26" t="s">
        <v>1077</v>
      </c>
      <c r="B327" s="16">
        <v>80204250585</v>
      </c>
      <c r="C327" s="27" t="s">
        <v>141</v>
      </c>
      <c r="D327" s="22" t="s">
        <v>1078</v>
      </c>
      <c r="E327" s="22" t="s">
        <v>54</v>
      </c>
      <c r="F327" s="22"/>
      <c r="G327" s="22"/>
      <c r="H327" s="22"/>
      <c r="I327" s="22"/>
      <c r="K327" s="22"/>
      <c r="L327" s="22"/>
      <c r="M327" s="22"/>
      <c r="N327" s="21"/>
      <c r="O327" s="21"/>
      <c r="P327" s="22"/>
      <c r="R327" s="21"/>
      <c r="S327" s="27" t="s">
        <v>530</v>
      </c>
      <c r="T327" s="13">
        <v>89879.22</v>
      </c>
      <c r="U327" s="23">
        <v>44592</v>
      </c>
      <c r="V327" s="23">
        <v>45077</v>
      </c>
      <c r="W327" s="13">
        <v>0</v>
      </c>
    </row>
    <row r="328" spans="1:23" ht="60" x14ac:dyDescent="0.25">
      <c r="A328" s="26" t="s">
        <v>1079</v>
      </c>
      <c r="B328" s="16">
        <v>80204250585</v>
      </c>
      <c r="C328" s="27" t="s">
        <v>141</v>
      </c>
      <c r="D328" s="22" t="s">
        <v>1080</v>
      </c>
      <c r="E328" s="22" t="s">
        <v>54</v>
      </c>
      <c r="F328" s="22"/>
      <c r="G328" s="22"/>
      <c r="H328" s="22"/>
      <c r="I328" s="22"/>
      <c r="K328" s="22"/>
      <c r="L328" s="22"/>
      <c r="M328" s="22"/>
      <c r="N328" s="21"/>
      <c r="O328" s="21"/>
      <c r="P328" s="22"/>
      <c r="Q328" s="21" t="s">
        <v>1081</v>
      </c>
      <c r="S328" s="27" t="s">
        <v>825</v>
      </c>
      <c r="T328" s="13">
        <v>110000</v>
      </c>
      <c r="U328" s="23">
        <v>44719</v>
      </c>
      <c r="V328" s="23">
        <v>45083</v>
      </c>
      <c r="W328" s="13">
        <f>27500+27500+55000</f>
        <v>110000</v>
      </c>
    </row>
    <row r="329" spans="1:23" ht="105" x14ac:dyDescent="0.25">
      <c r="A329" s="26" t="s">
        <v>1082</v>
      </c>
      <c r="B329" s="16">
        <v>80204250585</v>
      </c>
      <c r="C329" s="27" t="s">
        <v>141</v>
      </c>
      <c r="D329" s="22" t="s">
        <v>1083</v>
      </c>
      <c r="E329" s="27" t="s">
        <v>108</v>
      </c>
      <c r="F329" s="22"/>
      <c r="G329" s="22"/>
      <c r="H329" s="22"/>
      <c r="I329" s="22"/>
      <c r="J329" s="22" t="s">
        <v>1084</v>
      </c>
      <c r="K329" s="22"/>
      <c r="L329" s="22" t="s">
        <v>1085</v>
      </c>
      <c r="M329" s="22"/>
      <c r="N329" s="21"/>
      <c r="O329" s="21"/>
      <c r="P329" s="22"/>
      <c r="Q329" s="21" t="s">
        <v>1084</v>
      </c>
      <c r="R329" s="21"/>
      <c r="S329" s="22" t="s">
        <v>1085</v>
      </c>
      <c r="T329" s="13">
        <v>1171.6600000000001</v>
      </c>
      <c r="U329" s="23">
        <v>44648</v>
      </c>
      <c r="V329" s="23">
        <v>44657</v>
      </c>
      <c r="W329" s="13">
        <v>0</v>
      </c>
    </row>
    <row r="330" spans="1:23" ht="150" x14ac:dyDescent="0.25">
      <c r="A330" s="26" t="s">
        <v>1086</v>
      </c>
      <c r="B330" s="16">
        <v>80204250585</v>
      </c>
      <c r="C330" s="27" t="s">
        <v>141</v>
      </c>
      <c r="D330" s="22" t="s">
        <v>1087</v>
      </c>
      <c r="E330" s="27" t="s">
        <v>108</v>
      </c>
      <c r="F330" s="22"/>
      <c r="G330" s="22"/>
      <c r="H330" s="22"/>
      <c r="I330" s="22"/>
      <c r="J330" s="22" t="s">
        <v>1088</v>
      </c>
      <c r="K330" s="22"/>
      <c r="L330" s="22" t="s">
        <v>1089</v>
      </c>
      <c r="M330" s="22"/>
      <c r="N330" s="21"/>
      <c r="O330" s="21"/>
      <c r="P330" s="22"/>
      <c r="Q330" s="21" t="s">
        <v>1090</v>
      </c>
      <c r="R330" s="21"/>
      <c r="S330" s="22" t="s">
        <v>1091</v>
      </c>
      <c r="T330" s="13">
        <v>987</v>
      </c>
      <c r="U330" s="23">
        <v>44648</v>
      </c>
      <c r="V330" s="23">
        <v>44681</v>
      </c>
      <c r="W330" s="13">
        <v>0</v>
      </c>
    </row>
    <row r="331" spans="1:23" ht="225" x14ac:dyDescent="0.25">
      <c r="A331" s="24" t="s">
        <v>1092</v>
      </c>
      <c r="B331" s="16">
        <v>80204250585</v>
      </c>
      <c r="C331" s="27" t="s">
        <v>141</v>
      </c>
      <c r="D331" s="27" t="s">
        <v>1093</v>
      </c>
      <c r="E331" s="27" t="s">
        <v>164</v>
      </c>
      <c r="J331" s="22" t="s">
        <v>1094</v>
      </c>
      <c r="L331" s="27" t="s">
        <v>1095</v>
      </c>
      <c r="M331" s="22"/>
      <c r="N331" s="21"/>
      <c r="O331" s="21"/>
      <c r="P331" s="22"/>
      <c r="Q331" s="21" t="s">
        <v>1096</v>
      </c>
      <c r="S331" s="27" t="s">
        <v>1097</v>
      </c>
      <c r="T331" s="13">
        <v>32659.24</v>
      </c>
      <c r="U331" s="23">
        <v>44682</v>
      </c>
      <c r="V331" s="23">
        <v>45777</v>
      </c>
      <c r="W331" s="13">
        <v>22884.880000000001</v>
      </c>
    </row>
    <row r="332" spans="1:23" ht="270" x14ac:dyDescent="0.25">
      <c r="A332" s="24" t="s">
        <v>1098</v>
      </c>
      <c r="B332" s="16">
        <v>80204250585</v>
      </c>
      <c r="C332" s="27" t="s">
        <v>141</v>
      </c>
      <c r="D332" s="27" t="s">
        <v>1099</v>
      </c>
      <c r="E332" s="27" t="s">
        <v>164</v>
      </c>
      <c r="J332" s="22" t="s">
        <v>1100</v>
      </c>
      <c r="L332" s="27" t="s">
        <v>1101</v>
      </c>
      <c r="M332" s="22"/>
      <c r="N332" s="21"/>
      <c r="O332" s="21"/>
      <c r="P332" s="22"/>
      <c r="Q332" s="21" t="s">
        <v>1102</v>
      </c>
      <c r="S332" s="27" t="s">
        <v>1103</v>
      </c>
      <c r="T332" s="13">
        <v>73386</v>
      </c>
      <c r="U332" s="23">
        <v>44682</v>
      </c>
      <c r="V332" s="23">
        <v>45777</v>
      </c>
      <c r="W332" s="13">
        <f>16521.25+1505.75-4+1505.75*2+1505.75*3+4517.26+4517.26</f>
        <v>34586.270000000004</v>
      </c>
    </row>
    <row r="333" spans="1:23" ht="409.5" x14ac:dyDescent="0.25">
      <c r="A333" s="26" t="s">
        <v>1104</v>
      </c>
      <c r="B333" s="16">
        <v>80204250585</v>
      </c>
      <c r="C333" s="27" t="s">
        <v>141</v>
      </c>
      <c r="D333" s="22" t="s">
        <v>1105</v>
      </c>
      <c r="E333" s="27" t="s">
        <v>164</v>
      </c>
      <c r="F333" s="22"/>
      <c r="G333" s="22"/>
      <c r="H333" s="22"/>
      <c r="I333" s="22"/>
      <c r="J333" s="22" t="s">
        <v>1106</v>
      </c>
      <c r="K333" s="22"/>
      <c r="L333" s="22" t="s">
        <v>1107</v>
      </c>
      <c r="M333" s="22"/>
      <c r="N333" s="21"/>
      <c r="O333" s="21"/>
      <c r="P333" s="22"/>
      <c r="Q333" s="21" t="s">
        <v>1108</v>
      </c>
      <c r="R333" s="21"/>
      <c r="S333" s="22" t="s">
        <v>1109</v>
      </c>
      <c r="T333" s="13">
        <v>750000</v>
      </c>
      <c r="U333" s="23">
        <v>44725</v>
      </c>
      <c r="V333" s="23">
        <v>45455</v>
      </c>
      <c r="W333" s="13">
        <v>0</v>
      </c>
    </row>
    <row r="334" spans="1:23" ht="409.5" x14ac:dyDescent="0.25">
      <c r="A334" s="26" t="s">
        <v>1110</v>
      </c>
      <c r="B334" s="16">
        <v>80204250585</v>
      </c>
      <c r="C334" s="27" t="s">
        <v>141</v>
      </c>
      <c r="D334" s="22" t="s">
        <v>1111</v>
      </c>
      <c r="E334" s="27" t="s">
        <v>164</v>
      </c>
      <c r="F334" s="22"/>
      <c r="G334" s="22"/>
      <c r="H334" s="22"/>
      <c r="I334" s="22"/>
      <c r="J334" s="22" t="s">
        <v>1106</v>
      </c>
      <c r="K334" s="22"/>
      <c r="L334" s="22" t="s">
        <v>1107</v>
      </c>
      <c r="M334" s="22"/>
      <c r="N334" s="21"/>
      <c r="O334" s="21"/>
      <c r="P334" s="22"/>
      <c r="Q334" s="21" t="s">
        <v>1108</v>
      </c>
      <c r="R334" s="21"/>
      <c r="S334" s="22" t="s">
        <v>1109</v>
      </c>
      <c r="T334" s="13">
        <v>750000</v>
      </c>
      <c r="U334" s="23">
        <v>44725</v>
      </c>
      <c r="V334" s="23">
        <v>45455</v>
      </c>
      <c r="W334" s="13">
        <v>0</v>
      </c>
    </row>
    <row r="335" spans="1:23" ht="180" x14ac:dyDescent="0.25">
      <c r="A335" s="26" t="s">
        <v>1112</v>
      </c>
      <c r="B335" s="16">
        <v>80204250585</v>
      </c>
      <c r="C335" s="27" t="s">
        <v>141</v>
      </c>
      <c r="D335" s="22" t="s">
        <v>1113</v>
      </c>
      <c r="E335" s="27" t="s">
        <v>164</v>
      </c>
      <c r="F335" s="22"/>
      <c r="G335" s="22"/>
      <c r="H335" s="22"/>
      <c r="I335" s="22"/>
      <c r="K335" s="22"/>
      <c r="L335" s="22"/>
      <c r="M335" s="22"/>
      <c r="N335" s="21"/>
      <c r="O335" s="21"/>
      <c r="P335" s="22"/>
      <c r="Q335" s="21" t="s">
        <v>1108</v>
      </c>
      <c r="R335" s="21"/>
      <c r="S335" s="22" t="s">
        <v>1109</v>
      </c>
      <c r="T335" s="13">
        <v>750000</v>
      </c>
      <c r="U335" s="23">
        <v>44725</v>
      </c>
      <c r="V335" s="23">
        <v>45455</v>
      </c>
      <c r="W335" s="13">
        <v>4072.77</v>
      </c>
    </row>
    <row r="336" spans="1:23" ht="120" x14ac:dyDescent="0.25">
      <c r="A336" s="26" t="s">
        <v>1114</v>
      </c>
      <c r="B336" s="16">
        <v>80204250585</v>
      </c>
      <c r="C336" s="27" t="s">
        <v>141</v>
      </c>
      <c r="D336" s="22" t="s">
        <v>1115</v>
      </c>
      <c r="E336" s="27" t="s">
        <v>108</v>
      </c>
      <c r="F336" s="22"/>
      <c r="G336" s="22"/>
      <c r="H336" s="22"/>
      <c r="I336" s="22"/>
      <c r="K336" s="22"/>
      <c r="L336" s="22"/>
      <c r="M336" s="22"/>
      <c r="N336" s="21"/>
      <c r="O336" s="21"/>
      <c r="P336" s="22"/>
      <c r="Q336" s="21" t="s">
        <v>1116</v>
      </c>
      <c r="R336" s="21"/>
      <c r="S336" s="22" t="s">
        <v>1117</v>
      </c>
      <c r="T336" s="13">
        <v>640</v>
      </c>
      <c r="U336" s="23">
        <v>44562</v>
      </c>
      <c r="V336" s="23">
        <v>44926</v>
      </c>
      <c r="W336" s="13">
        <v>640</v>
      </c>
    </row>
    <row r="337" spans="1:23" ht="45" x14ac:dyDescent="0.25">
      <c r="A337" s="26" t="s">
        <v>1118</v>
      </c>
      <c r="B337" s="21" t="s">
        <v>468</v>
      </c>
      <c r="C337" s="22" t="s">
        <v>48</v>
      </c>
      <c r="D337" s="27" t="s">
        <v>1119</v>
      </c>
      <c r="E337" s="22" t="s">
        <v>108</v>
      </c>
      <c r="J337" s="22" t="s">
        <v>1120</v>
      </c>
      <c r="L337" s="27" t="s">
        <v>1121</v>
      </c>
      <c r="Q337" s="21" t="s">
        <v>1120</v>
      </c>
      <c r="S337" s="27" t="s">
        <v>1121</v>
      </c>
      <c r="T337" s="13">
        <v>1000</v>
      </c>
      <c r="U337" s="23">
        <v>44562</v>
      </c>
      <c r="V337" s="23">
        <v>44742</v>
      </c>
      <c r="W337" s="13">
        <f>57.38+57.38</f>
        <v>114.76</v>
      </c>
    </row>
    <row r="338" spans="1:23" ht="60" x14ac:dyDescent="0.25">
      <c r="A338" s="26" t="s">
        <v>1122</v>
      </c>
      <c r="B338" s="21" t="s">
        <v>468</v>
      </c>
      <c r="C338" s="22" t="s">
        <v>48</v>
      </c>
      <c r="D338" s="27" t="s">
        <v>1123</v>
      </c>
      <c r="E338" s="22" t="s">
        <v>108</v>
      </c>
      <c r="J338" s="22" t="s">
        <v>1124</v>
      </c>
      <c r="L338" s="27" t="s">
        <v>1125</v>
      </c>
      <c r="Q338" s="21" t="s">
        <v>1124</v>
      </c>
      <c r="S338" s="27" t="s">
        <v>1125</v>
      </c>
      <c r="T338" s="13">
        <v>5000</v>
      </c>
      <c r="U338" s="23">
        <v>44562</v>
      </c>
      <c r="V338" s="23">
        <v>44742</v>
      </c>
      <c r="W338" s="13">
        <f>729.51+318.03-40.98+322.95+113.11+54.1+146.72</f>
        <v>1643.4399999999998</v>
      </c>
    </row>
    <row r="339" spans="1:23" ht="45" x14ac:dyDescent="0.25">
      <c r="A339" s="26" t="s">
        <v>1126</v>
      </c>
      <c r="B339" s="21" t="s">
        <v>468</v>
      </c>
      <c r="C339" s="22" t="s">
        <v>48</v>
      </c>
      <c r="D339" s="27" t="s">
        <v>1127</v>
      </c>
      <c r="E339" s="22" t="s">
        <v>108</v>
      </c>
      <c r="J339" s="22" t="s">
        <v>1128</v>
      </c>
      <c r="L339" s="27" t="s">
        <v>1129</v>
      </c>
      <c r="Q339" s="21" t="s">
        <v>1128</v>
      </c>
      <c r="S339" s="27" t="s">
        <v>1129</v>
      </c>
      <c r="T339" s="13">
        <v>3000</v>
      </c>
      <c r="U339" s="23">
        <v>44562</v>
      </c>
      <c r="V339" s="23">
        <v>44742</v>
      </c>
      <c r="W339" s="13">
        <f>270+465+555+315+270+270</f>
        <v>2145</v>
      </c>
    </row>
    <row r="340" spans="1:23" ht="75" x14ac:dyDescent="0.25">
      <c r="A340" s="26" t="s">
        <v>1130</v>
      </c>
      <c r="B340" s="21" t="s">
        <v>468</v>
      </c>
      <c r="C340" s="22" t="s">
        <v>48</v>
      </c>
      <c r="D340" s="22" t="s">
        <v>1131</v>
      </c>
      <c r="E340" s="22" t="s">
        <v>108</v>
      </c>
      <c r="F340" s="22"/>
      <c r="G340" s="22"/>
      <c r="H340" s="22"/>
      <c r="I340" s="22"/>
      <c r="J340" s="22" t="s">
        <v>1132</v>
      </c>
      <c r="K340" s="22"/>
      <c r="L340" s="22" t="s">
        <v>1133</v>
      </c>
      <c r="M340" s="22"/>
      <c r="N340" s="21"/>
      <c r="O340" s="21"/>
      <c r="P340" s="22"/>
      <c r="Q340" s="21" t="s">
        <v>369</v>
      </c>
      <c r="R340" s="21"/>
      <c r="S340" s="22" t="s">
        <v>1134</v>
      </c>
      <c r="T340" s="13">
        <v>39900</v>
      </c>
      <c r="U340" s="23">
        <v>44562</v>
      </c>
      <c r="V340" s="23">
        <v>44957</v>
      </c>
      <c r="W340" s="13">
        <f>35580+3240+1080</f>
        <v>39900</v>
      </c>
    </row>
    <row r="341" spans="1:23" ht="45" x14ac:dyDescent="0.25">
      <c r="A341" s="26" t="s">
        <v>1135</v>
      </c>
      <c r="B341" s="21" t="s">
        <v>468</v>
      </c>
      <c r="C341" s="22" t="s">
        <v>48</v>
      </c>
      <c r="D341" s="27" t="s">
        <v>1136</v>
      </c>
      <c r="E341" s="22" t="s">
        <v>108</v>
      </c>
      <c r="J341" s="22" t="s">
        <v>261</v>
      </c>
      <c r="L341" s="27" t="s">
        <v>1137</v>
      </c>
      <c r="Q341" s="21" t="s">
        <v>261</v>
      </c>
      <c r="S341" s="27" t="s">
        <v>1137</v>
      </c>
      <c r="T341" s="13">
        <v>8000</v>
      </c>
      <c r="U341" s="23">
        <v>44562</v>
      </c>
      <c r="V341" s="23">
        <v>44742</v>
      </c>
      <c r="W341" s="13">
        <v>885.25</v>
      </c>
    </row>
    <row r="342" spans="1:23" ht="90" x14ac:dyDescent="0.25">
      <c r="A342" s="26" t="s">
        <v>1792</v>
      </c>
      <c r="B342" s="21" t="s">
        <v>468</v>
      </c>
      <c r="C342" s="22" t="s">
        <v>48</v>
      </c>
      <c r="D342" s="27" t="s">
        <v>1138</v>
      </c>
      <c r="E342" s="22" t="s">
        <v>108</v>
      </c>
      <c r="J342" s="22" t="s">
        <v>694</v>
      </c>
      <c r="L342" s="27" t="s">
        <v>695</v>
      </c>
      <c r="Q342" s="21" t="s">
        <v>694</v>
      </c>
      <c r="S342" s="27" t="s">
        <v>695</v>
      </c>
      <c r="T342" s="13">
        <v>40000</v>
      </c>
      <c r="U342" s="23">
        <v>44593</v>
      </c>
      <c r="V342" s="23">
        <v>44957</v>
      </c>
      <c r="W342" s="13">
        <v>32002</v>
      </c>
    </row>
    <row r="343" spans="1:23" ht="165" x14ac:dyDescent="0.25">
      <c r="A343" s="26" t="s">
        <v>1139</v>
      </c>
      <c r="B343" s="21" t="s">
        <v>468</v>
      </c>
      <c r="C343" s="22" t="s">
        <v>48</v>
      </c>
      <c r="D343" s="27" t="s">
        <v>1140</v>
      </c>
      <c r="E343" s="22" t="s">
        <v>108</v>
      </c>
      <c r="J343" s="22" t="s">
        <v>1141</v>
      </c>
      <c r="L343" s="27" t="s">
        <v>1142</v>
      </c>
      <c r="T343" s="13">
        <v>0</v>
      </c>
      <c r="W343" s="13">
        <v>0</v>
      </c>
    </row>
    <row r="344" spans="1:23" ht="90" x14ac:dyDescent="0.25">
      <c r="A344" s="26" t="s">
        <v>1143</v>
      </c>
      <c r="B344" s="21" t="s">
        <v>468</v>
      </c>
      <c r="C344" s="22" t="s">
        <v>48</v>
      </c>
      <c r="D344" s="22" t="s">
        <v>1144</v>
      </c>
      <c r="E344" s="22" t="s">
        <v>50</v>
      </c>
      <c r="F344" s="22"/>
      <c r="G344" s="22"/>
      <c r="H344" s="22"/>
      <c r="I344" s="22"/>
      <c r="K344" s="22"/>
      <c r="L344" s="22"/>
      <c r="M344" s="22"/>
      <c r="N344" s="21"/>
      <c r="O344" s="21"/>
      <c r="P344" s="22"/>
      <c r="Q344" s="21" t="s">
        <v>386</v>
      </c>
      <c r="R344" s="21"/>
      <c r="S344" s="22" t="s">
        <v>1145</v>
      </c>
      <c r="T344" s="13">
        <v>5114.75</v>
      </c>
      <c r="U344" s="23">
        <v>44562</v>
      </c>
      <c r="V344" s="23">
        <v>45626</v>
      </c>
      <c r="W344" s="13">
        <f>138.15+60.35+110.98+250.09+122.75+21.2+107.31+139.97+34.26+110.57+100.24+11.49+108.31</f>
        <v>1315.67</v>
      </c>
    </row>
    <row r="345" spans="1:23" ht="105" x14ac:dyDescent="0.25">
      <c r="A345" s="26" t="s">
        <v>1147</v>
      </c>
      <c r="B345" s="21" t="s">
        <v>468</v>
      </c>
      <c r="C345" s="22" t="s">
        <v>48</v>
      </c>
      <c r="D345" s="22" t="s">
        <v>1148</v>
      </c>
      <c r="E345" s="22" t="s">
        <v>108</v>
      </c>
      <c r="J345" s="22" t="s">
        <v>1149</v>
      </c>
      <c r="L345" s="27" t="s">
        <v>1150</v>
      </c>
      <c r="Q345" s="21" t="s">
        <v>1149</v>
      </c>
      <c r="S345" s="27" t="s">
        <v>1150</v>
      </c>
      <c r="T345" s="13">
        <v>13791.65</v>
      </c>
      <c r="U345" s="23">
        <v>44525</v>
      </c>
      <c r="V345" s="23">
        <v>44889</v>
      </c>
      <c r="W345" s="13">
        <v>0</v>
      </c>
    </row>
    <row r="346" spans="1:23" ht="90" x14ac:dyDescent="0.25">
      <c r="A346" s="26" t="s">
        <v>1151</v>
      </c>
      <c r="B346" s="21">
        <v>80204250585</v>
      </c>
      <c r="C346" s="22" t="s">
        <v>48</v>
      </c>
      <c r="D346" s="22" t="s">
        <v>1152</v>
      </c>
      <c r="E346" s="22" t="s">
        <v>108</v>
      </c>
      <c r="F346" s="22"/>
      <c r="G346" s="22"/>
      <c r="H346" s="22"/>
      <c r="I346" s="22"/>
      <c r="J346" s="22" t="s">
        <v>1153</v>
      </c>
      <c r="K346" s="22"/>
      <c r="L346" s="22" t="s">
        <v>1154</v>
      </c>
      <c r="M346" s="22"/>
      <c r="N346" s="21"/>
      <c r="O346" s="21"/>
      <c r="P346" s="22"/>
      <c r="Q346" s="21" t="s">
        <v>1153</v>
      </c>
      <c r="R346" s="21"/>
      <c r="S346" s="22" t="s">
        <v>1154</v>
      </c>
      <c r="T346" s="13">
        <v>14700</v>
      </c>
      <c r="U346" s="23">
        <v>44513</v>
      </c>
      <c r="V346" s="23">
        <v>45242</v>
      </c>
      <c r="W346" s="13">
        <f>7350+7350</f>
        <v>14700</v>
      </c>
    </row>
    <row r="347" spans="1:23" ht="90" x14ac:dyDescent="0.25">
      <c r="A347" s="26">
        <v>9083614368</v>
      </c>
      <c r="B347" s="21">
        <v>80204250585</v>
      </c>
      <c r="C347" s="22" t="s">
        <v>48</v>
      </c>
      <c r="D347" s="27" t="s">
        <v>1155</v>
      </c>
      <c r="E347" s="22" t="s">
        <v>50</v>
      </c>
      <c r="J347" s="22" t="s">
        <v>502</v>
      </c>
      <c r="L347" s="27" t="s">
        <v>503</v>
      </c>
      <c r="Q347" s="21" t="s">
        <v>502</v>
      </c>
      <c r="S347" s="27" t="s">
        <v>503</v>
      </c>
      <c r="T347" s="13">
        <v>41016.959999999999</v>
      </c>
      <c r="U347" s="23">
        <v>44946</v>
      </c>
      <c r="V347" s="23">
        <v>46406</v>
      </c>
      <c r="W347" s="13">
        <v>0</v>
      </c>
    </row>
    <row r="348" spans="1:23" ht="75" x14ac:dyDescent="0.25">
      <c r="A348" s="26">
        <v>9126350644</v>
      </c>
      <c r="B348" s="21">
        <v>80204250585</v>
      </c>
      <c r="C348" s="22" t="s">
        <v>48</v>
      </c>
      <c r="D348" s="27" t="s">
        <v>1156</v>
      </c>
      <c r="E348" s="27" t="s">
        <v>54</v>
      </c>
      <c r="J348" s="22" t="s">
        <v>980</v>
      </c>
      <c r="L348" s="27" t="s">
        <v>1157</v>
      </c>
      <c r="Q348" s="21" t="s">
        <v>980</v>
      </c>
      <c r="S348" s="27" t="s">
        <v>1157</v>
      </c>
      <c r="T348" s="13">
        <v>174148</v>
      </c>
      <c r="U348" s="23">
        <v>44621</v>
      </c>
      <c r="V348" s="23">
        <v>44804</v>
      </c>
      <c r="W348" s="13">
        <f>21900.83+26400.07+30665.7</f>
        <v>78966.600000000006</v>
      </c>
    </row>
    <row r="349" spans="1:23" ht="90" x14ac:dyDescent="0.25">
      <c r="A349" s="26" t="s">
        <v>1160</v>
      </c>
      <c r="B349" s="21">
        <v>80204250587</v>
      </c>
      <c r="C349" s="22" t="s">
        <v>48</v>
      </c>
      <c r="D349" s="22" t="s">
        <v>1161</v>
      </c>
      <c r="E349" s="22" t="s">
        <v>54</v>
      </c>
      <c r="J349" s="22" t="s">
        <v>844</v>
      </c>
      <c r="L349" s="27" t="s">
        <v>1162</v>
      </c>
      <c r="Q349" s="21" t="s">
        <v>844</v>
      </c>
      <c r="S349" s="27" t="s">
        <v>1162</v>
      </c>
      <c r="T349" s="13">
        <v>6768.89</v>
      </c>
      <c r="U349" s="23">
        <v>44607</v>
      </c>
      <c r="V349" s="23">
        <v>44971</v>
      </c>
      <c r="W349" s="13">
        <v>6768.84</v>
      </c>
    </row>
    <row r="350" spans="1:23" ht="90" x14ac:dyDescent="0.25">
      <c r="A350" s="26" t="s">
        <v>1163</v>
      </c>
      <c r="B350" s="21" t="s">
        <v>468</v>
      </c>
      <c r="C350" s="22" t="s">
        <v>48</v>
      </c>
      <c r="D350" s="22" t="s">
        <v>1164</v>
      </c>
      <c r="E350" s="22" t="s">
        <v>108</v>
      </c>
      <c r="J350" s="22" t="s">
        <v>538</v>
      </c>
      <c r="K350" s="22"/>
      <c r="L350" s="22" t="s">
        <v>359</v>
      </c>
      <c r="M350" s="22"/>
      <c r="N350" s="21"/>
      <c r="O350" s="21"/>
      <c r="P350" s="22"/>
      <c r="Q350" s="21" t="s">
        <v>538</v>
      </c>
      <c r="R350" s="21"/>
      <c r="S350" s="22" t="s">
        <v>359</v>
      </c>
      <c r="T350" s="13">
        <v>19678.689999999999</v>
      </c>
      <c r="U350" s="23">
        <v>44621</v>
      </c>
      <c r="V350" s="23">
        <v>44985</v>
      </c>
      <c r="W350" s="13">
        <f>1829.19+1703.95+1813.76+1850.04+1944.33+1919.88+1926.77+1989.04+1720.3+1745.08+1649.14+1766.6+1792.49</f>
        <v>23650.570000000003</v>
      </c>
    </row>
    <row r="351" spans="1:23" ht="60" x14ac:dyDescent="0.25">
      <c r="A351" s="24" t="s">
        <v>1165</v>
      </c>
      <c r="B351" s="21" t="s">
        <v>468</v>
      </c>
      <c r="C351" s="22" t="s">
        <v>48</v>
      </c>
      <c r="D351" s="27" t="s">
        <v>1166</v>
      </c>
      <c r="E351" s="27" t="s">
        <v>54</v>
      </c>
      <c r="J351" s="22" t="s">
        <v>543</v>
      </c>
      <c r="K351" s="22"/>
      <c r="L351" s="22" t="s">
        <v>544</v>
      </c>
      <c r="M351" s="22"/>
      <c r="N351" s="21"/>
      <c r="O351" s="21"/>
      <c r="P351" s="22"/>
      <c r="Q351" s="21" t="s">
        <v>543</v>
      </c>
      <c r="R351" s="21"/>
      <c r="S351" s="22" t="s">
        <v>544</v>
      </c>
      <c r="T351" s="13">
        <v>4680</v>
      </c>
      <c r="U351" s="23">
        <v>44667</v>
      </c>
      <c r="V351" s="23">
        <v>45031</v>
      </c>
      <c r="W351" s="13">
        <v>3989.51</v>
      </c>
    </row>
    <row r="352" spans="1:23" ht="75" x14ac:dyDescent="0.25">
      <c r="A352" s="24" t="s">
        <v>1167</v>
      </c>
      <c r="B352" s="16">
        <v>80204250585</v>
      </c>
      <c r="C352" s="27" t="s">
        <v>141</v>
      </c>
      <c r="D352" s="27" t="s">
        <v>1168</v>
      </c>
      <c r="E352" s="22" t="s">
        <v>54</v>
      </c>
      <c r="Q352" s="21" t="s">
        <v>1169</v>
      </c>
      <c r="S352" s="27" t="s">
        <v>917</v>
      </c>
      <c r="T352" s="13">
        <v>18490</v>
      </c>
      <c r="U352" s="23">
        <v>44743</v>
      </c>
      <c r="V352" s="23">
        <v>45107</v>
      </c>
      <c r="W352" s="13">
        <v>18490</v>
      </c>
    </row>
    <row r="353" spans="1:30" ht="135" x14ac:dyDescent="0.25">
      <c r="A353" s="24" t="s">
        <v>1170</v>
      </c>
      <c r="B353" s="16">
        <v>80204250585</v>
      </c>
      <c r="C353" s="27" t="s">
        <v>141</v>
      </c>
      <c r="D353" s="27" t="s">
        <v>1171</v>
      </c>
      <c r="E353" s="27" t="s">
        <v>50</v>
      </c>
      <c r="J353" s="34" t="s">
        <v>51</v>
      </c>
      <c r="L353" s="27" t="s">
        <v>705</v>
      </c>
      <c r="Q353" s="21" t="s">
        <v>1172</v>
      </c>
      <c r="S353" s="27" t="s">
        <v>705</v>
      </c>
      <c r="T353" s="13">
        <v>737195.04</v>
      </c>
      <c r="U353" s="23">
        <v>44743</v>
      </c>
      <c r="V353" s="23">
        <v>45838</v>
      </c>
      <c r="W353" s="13">
        <v>245731.68</v>
      </c>
    </row>
    <row r="354" spans="1:30" ht="105" x14ac:dyDescent="0.25">
      <c r="A354" s="24" t="s">
        <v>1173</v>
      </c>
      <c r="B354" s="16">
        <v>80204250585</v>
      </c>
      <c r="C354" s="27" t="s">
        <v>141</v>
      </c>
      <c r="D354" s="27" t="s">
        <v>1174</v>
      </c>
      <c r="E354" s="27" t="s">
        <v>54</v>
      </c>
      <c r="Q354" s="21" t="s">
        <v>1175</v>
      </c>
      <c r="S354" s="27" t="s">
        <v>1176</v>
      </c>
      <c r="T354" s="13">
        <v>39745</v>
      </c>
      <c r="U354" s="23">
        <v>44682</v>
      </c>
      <c r="V354" s="23">
        <v>45412</v>
      </c>
      <c r="W354" s="13">
        <f>21382.27+1644.78+1644.78+1644.78</f>
        <v>26316.609999999997</v>
      </c>
    </row>
    <row r="355" spans="1:30" ht="75" x14ac:dyDescent="0.25">
      <c r="A355" s="24" t="s">
        <v>1177</v>
      </c>
      <c r="B355" s="16">
        <v>80204250585</v>
      </c>
      <c r="C355" s="27" t="s">
        <v>141</v>
      </c>
      <c r="D355" s="27" t="s">
        <v>1178</v>
      </c>
      <c r="E355" s="27" t="s">
        <v>108</v>
      </c>
      <c r="Q355" s="21" t="s">
        <v>1179</v>
      </c>
      <c r="S355" s="27" t="s">
        <v>682</v>
      </c>
      <c r="T355" s="13">
        <v>14000</v>
      </c>
      <c r="U355" s="23">
        <v>44713</v>
      </c>
      <c r="V355" s="23">
        <v>45443</v>
      </c>
      <c r="W355" s="13">
        <f>14000+14000</f>
        <v>28000</v>
      </c>
    </row>
    <row r="356" spans="1:30" ht="195" x14ac:dyDescent="0.25">
      <c r="A356" s="24" t="s">
        <v>1180</v>
      </c>
      <c r="B356" s="16">
        <v>80204250585</v>
      </c>
      <c r="C356" s="27" t="s">
        <v>141</v>
      </c>
      <c r="D356" s="27" t="s">
        <v>1181</v>
      </c>
      <c r="E356" s="27" t="s">
        <v>108</v>
      </c>
      <c r="I356" s="27" t="s">
        <v>940</v>
      </c>
      <c r="J356" s="22" t="s">
        <v>1182</v>
      </c>
      <c r="L356" s="27" t="s">
        <v>1183</v>
      </c>
      <c r="Q356" s="21" t="s">
        <v>1252</v>
      </c>
      <c r="S356" s="27" t="s">
        <v>1251</v>
      </c>
      <c r="T356" s="13">
        <v>28728</v>
      </c>
      <c r="U356" s="23">
        <v>44742</v>
      </c>
      <c r="V356" s="23">
        <v>45104</v>
      </c>
      <c r="W356" s="13">
        <f>9072+7560</f>
        <v>16632</v>
      </c>
    </row>
    <row r="357" spans="1:30" ht="90" x14ac:dyDescent="0.25">
      <c r="A357" s="24" t="s">
        <v>1185</v>
      </c>
      <c r="B357" s="16">
        <v>80204250585</v>
      </c>
      <c r="C357" s="27" t="s">
        <v>141</v>
      </c>
      <c r="D357" s="27" t="s">
        <v>1186</v>
      </c>
      <c r="E357" s="27" t="s">
        <v>50</v>
      </c>
      <c r="J357" s="22">
        <v>4472901000</v>
      </c>
      <c r="L357" s="27" t="s">
        <v>1187</v>
      </c>
      <c r="Q357" s="21" t="s">
        <v>1188</v>
      </c>
      <c r="S357" s="27" t="s">
        <v>721</v>
      </c>
      <c r="T357" s="13">
        <v>73540.72</v>
      </c>
      <c r="U357" s="23">
        <v>44713</v>
      </c>
      <c r="V357" s="23">
        <v>45808</v>
      </c>
      <c r="W357" s="13">
        <f>73540.73</f>
        <v>73540.73</v>
      </c>
    </row>
    <row r="358" spans="1:30" ht="75" x14ac:dyDescent="0.25">
      <c r="A358" s="24" t="s">
        <v>1189</v>
      </c>
      <c r="B358" s="16">
        <v>80204250585</v>
      </c>
      <c r="C358" s="27" t="s">
        <v>141</v>
      </c>
      <c r="D358" s="27" t="s">
        <v>1190</v>
      </c>
      <c r="E358" s="22" t="s">
        <v>54</v>
      </c>
      <c r="J358" s="22">
        <v>12086540155</v>
      </c>
      <c r="L358" s="27" t="s">
        <v>1191</v>
      </c>
      <c r="Q358" s="21" t="s">
        <v>1192</v>
      </c>
      <c r="S358" s="27" t="s">
        <v>1191</v>
      </c>
      <c r="T358" s="13">
        <v>4680</v>
      </c>
      <c r="U358" s="23">
        <v>44667</v>
      </c>
      <c r="V358" s="23">
        <v>45031</v>
      </c>
      <c r="W358" s="13">
        <v>4680</v>
      </c>
    </row>
    <row r="359" spans="1:30" ht="105" x14ac:dyDescent="0.25">
      <c r="A359" s="24" t="s">
        <v>1193</v>
      </c>
      <c r="B359" s="16">
        <v>80204250585</v>
      </c>
      <c r="C359" s="27" t="s">
        <v>141</v>
      </c>
      <c r="D359" s="27" t="s">
        <v>1194</v>
      </c>
      <c r="E359" s="27" t="s">
        <v>108</v>
      </c>
      <c r="L359" s="27" t="s">
        <v>1195</v>
      </c>
      <c r="Q359" s="21" t="s">
        <v>1196</v>
      </c>
      <c r="S359" s="27" t="s">
        <v>1197</v>
      </c>
      <c r="T359" s="13">
        <v>95</v>
      </c>
      <c r="U359" s="23">
        <v>44663</v>
      </c>
      <c r="V359" s="23">
        <v>44671</v>
      </c>
      <c r="W359" s="13">
        <f>95+95</f>
        <v>190</v>
      </c>
    </row>
    <row r="360" spans="1:30" ht="120" x14ac:dyDescent="0.25">
      <c r="A360" s="24" t="s">
        <v>1198</v>
      </c>
      <c r="B360" s="16">
        <v>80204250585</v>
      </c>
      <c r="C360" s="27" t="s">
        <v>141</v>
      </c>
      <c r="D360" s="27" t="s">
        <v>1199</v>
      </c>
      <c r="E360" s="27" t="s">
        <v>108</v>
      </c>
      <c r="J360" s="22" t="s">
        <v>1255</v>
      </c>
      <c r="L360" s="27" t="s">
        <v>1200</v>
      </c>
      <c r="Q360" s="21" t="s">
        <v>1201</v>
      </c>
      <c r="S360" s="27" t="s">
        <v>1202</v>
      </c>
      <c r="T360" s="13">
        <v>15750</v>
      </c>
      <c r="U360" s="23">
        <v>44683</v>
      </c>
      <c r="V360" s="23">
        <v>44809</v>
      </c>
      <c r="W360" s="13">
        <v>15750</v>
      </c>
    </row>
    <row r="361" spans="1:30" ht="90" x14ac:dyDescent="0.25">
      <c r="A361" s="24" t="s">
        <v>1204</v>
      </c>
      <c r="B361" s="16">
        <v>80204250585</v>
      </c>
      <c r="C361" s="27" t="s">
        <v>141</v>
      </c>
      <c r="D361" s="27" t="s">
        <v>1205</v>
      </c>
      <c r="E361" s="27" t="s">
        <v>108</v>
      </c>
      <c r="J361" s="22">
        <v>768340580</v>
      </c>
      <c r="L361" s="27" t="s">
        <v>1206</v>
      </c>
      <c r="Q361" s="21" t="s">
        <v>1203</v>
      </c>
      <c r="S361" s="27" t="s">
        <v>802</v>
      </c>
      <c r="T361" s="13">
        <v>5000</v>
      </c>
      <c r="U361" s="23">
        <v>44743</v>
      </c>
      <c r="W361" s="13">
        <v>0</v>
      </c>
    </row>
    <row r="362" spans="1:30" ht="45" x14ac:dyDescent="0.25">
      <c r="A362" s="24" t="s">
        <v>1207</v>
      </c>
      <c r="B362" s="16">
        <v>80204250585</v>
      </c>
      <c r="C362" s="27" t="s">
        <v>141</v>
      </c>
      <c r="D362" s="27" t="s">
        <v>1208</v>
      </c>
      <c r="E362" s="27" t="s">
        <v>108</v>
      </c>
      <c r="Q362" s="21" t="s">
        <v>1184</v>
      </c>
      <c r="S362" s="27" t="s">
        <v>1209</v>
      </c>
      <c r="T362" s="13">
        <v>252</v>
      </c>
      <c r="U362" s="23">
        <v>44727</v>
      </c>
      <c r="V362" s="23">
        <v>44757</v>
      </c>
      <c r="W362" s="13">
        <v>0</v>
      </c>
    </row>
    <row r="363" spans="1:30" ht="45" x14ac:dyDescent="0.25">
      <c r="A363" s="24" t="s">
        <v>1210</v>
      </c>
      <c r="B363" s="16">
        <v>80204250585</v>
      </c>
      <c r="C363" s="27" t="s">
        <v>141</v>
      </c>
      <c r="D363" s="27" t="s">
        <v>1211</v>
      </c>
      <c r="E363" s="27" t="s">
        <v>108</v>
      </c>
      <c r="Q363" s="21" t="s">
        <v>1184</v>
      </c>
      <c r="S363" s="27" t="s">
        <v>1209</v>
      </c>
      <c r="T363" s="13">
        <v>772</v>
      </c>
      <c r="U363" s="23">
        <v>44687</v>
      </c>
      <c r="V363" s="23">
        <v>44712</v>
      </c>
      <c r="W363" s="13">
        <v>0</v>
      </c>
    </row>
    <row r="364" spans="1:30" ht="120" x14ac:dyDescent="0.25">
      <c r="A364" s="24" t="s">
        <v>1212</v>
      </c>
      <c r="B364" s="16">
        <v>80204250585</v>
      </c>
      <c r="C364" s="27" t="s">
        <v>141</v>
      </c>
      <c r="D364" s="27" t="s">
        <v>1213</v>
      </c>
      <c r="E364" s="27" t="s">
        <v>50</v>
      </c>
      <c r="J364" s="21" t="s">
        <v>1215</v>
      </c>
      <c r="L364" s="27" t="s">
        <v>1214</v>
      </c>
      <c r="Q364" s="21" t="s">
        <v>1215</v>
      </c>
      <c r="S364" s="27" t="s">
        <v>1216</v>
      </c>
      <c r="T364" s="13">
        <v>1029600</v>
      </c>
      <c r="U364" s="23">
        <v>44713</v>
      </c>
      <c r="V364" s="23">
        <v>45199</v>
      </c>
      <c r="W364" s="13">
        <f>495165.64+44669.47+42842.81+56408.11</f>
        <v>639086.02999999991</v>
      </c>
      <c r="AA364" s="16"/>
      <c r="AB364" s="16"/>
      <c r="AC364" s="16"/>
      <c r="AD364" s="16"/>
    </row>
    <row r="365" spans="1:30" ht="75" x14ac:dyDescent="0.25">
      <c r="A365" s="24" t="s">
        <v>1217</v>
      </c>
      <c r="B365" s="16">
        <v>80204250585</v>
      </c>
      <c r="C365" s="27" t="s">
        <v>141</v>
      </c>
      <c r="D365" s="27" t="s">
        <v>1218</v>
      </c>
      <c r="E365" s="27" t="s">
        <v>108</v>
      </c>
      <c r="Q365" s="21" t="s">
        <v>1184</v>
      </c>
      <c r="S365" s="27" t="s">
        <v>1219</v>
      </c>
      <c r="T365" s="13">
        <v>1465</v>
      </c>
      <c r="U365" s="23">
        <v>44701</v>
      </c>
      <c r="V365" s="23">
        <v>44733</v>
      </c>
      <c r="W365" s="13">
        <v>1440</v>
      </c>
    </row>
    <row r="366" spans="1:30" ht="75" x14ac:dyDescent="0.25">
      <c r="A366" s="24" t="s">
        <v>1220</v>
      </c>
      <c r="B366" s="16">
        <v>80204250585</v>
      </c>
      <c r="C366" s="27" t="s">
        <v>141</v>
      </c>
      <c r="D366" s="27" t="s">
        <v>1221</v>
      </c>
      <c r="E366" s="27" t="s">
        <v>108</v>
      </c>
      <c r="J366" s="22">
        <v>1066780584</v>
      </c>
      <c r="L366" s="27" t="s">
        <v>1129</v>
      </c>
      <c r="Q366" s="21" t="s">
        <v>1184</v>
      </c>
      <c r="S366" s="27" t="s">
        <v>807</v>
      </c>
      <c r="T366" s="13">
        <v>3000</v>
      </c>
      <c r="U366" s="23">
        <v>44743</v>
      </c>
      <c r="W366" s="13">
        <f>90+120+150+210</f>
        <v>570</v>
      </c>
    </row>
    <row r="367" spans="1:30" ht="165" x14ac:dyDescent="0.25">
      <c r="A367" s="24" t="s">
        <v>1222</v>
      </c>
      <c r="B367" s="16">
        <v>80204250585</v>
      </c>
      <c r="C367" s="27" t="s">
        <v>141</v>
      </c>
      <c r="D367" s="27" t="s">
        <v>1253</v>
      </c>
      <c r="E367" s="27" t="s">
        <v>108</v>
      </c>
      <c r="J367" s="22" t="s">
        <v>1256</v>
      </c>
      <c r="L367" s="27" t="s">
        <v>1254</v>
      </c>
      <c r="Q367" s="21" t="s">
        <v>1223</v>
      </c>
      <c r="S367" s="27" t="s">
        <v>1254</v>
      </c>
      <c r="T367" s="13">
        <v>11820</v>
      </c>
      <c r="U367" s="23">
        <v>44713</v>
      </c>
      <c r="V367" s="23">
        <v>45077</v>
      </c>
      <c r="W367" s="13">
        <v>11820</v>
      </c>
    </row>
    <row r="368" spans="1:30" ht="90" x14ac:dyDescent="0.25">
      <c r="A368" s="24" t="s">
        <v>1224</v>
      </c>
      <c r="B368" s="16">
        <v>80204250585</v>
      </c>
      <c r="C368" s="27" t="s">
        <v>141</v>
      </c>
      <c r="D368" s="27" t="s">
        <v>1225</v>
      </c>
      <c r="E368" s="27" t="s">
        <v>108</v>
      </c>
      <c r="J368" s="35" t="s">
        <v>1264</v>
      </c>
      <c r="L368" s="27" t="s">
        <v>1226</v>
      </c>
      <c r="Q368" s="21" t="s">
        <v>1227</v>
      </c>
      <c r="S368" s="27" t="s">
        <v>1228</v>
      </c>
      <c r="T368" s="13">
        <v>42680</v>
      </c>
      <c r="U368" s="23">
        <v>44743</v>
      </c>
      <c r="V368" s="23">
        <v>45473</v>
      </c>
      <c r="W368" s="13">
        <v>22540</v>
      </c>
      <c r="AA368" s="16"/>
      <c r="AB368" s="16"/>
      <c r="AC368" s="16"/>
      <c r="AD368" s="16"/>
    </row>
    <row r="369" spans="1:30" ht="105" x14ac:dyDescent="0.25">
      <c r="A369" s="24" t="s">
        <v>1229</v>
      </c>
      <c r="B369" s="16">
        <v>80204250585</v>
      </c>
      <c r="C369" s="27" t="s">
        <v>141</v>
      </c>
      <c r="D369" s="27" t="s">
        <v>1230</v>
      </c>
      <c r="E369" s="27" t="s">
        <v>108</v>
      </c>
      <c r="J369" s="22" t="s">
        <v>1565</v>
      </c>
      <c r="L369" s="27" t="s">
        <v>1564</v>
      </c>
      <c r="Q369" s="21" t="s">
        <v>1231</v>
      </c>
      <c r="S369" s="27" t="s">
        <v>1232</v>
      </c>
      <c r="T369" s="13">
        <v>23212</v>
      </c>
      <c r="U369" s="23">
        <v>44781</v>
      </c>
      <c r="V369" s="23">
        <v>45145</v>
      </c>
      <c r="W369" s="13">
        <f>23212</f>
        <v>23212</v>
      </c>
    </row>
    <row r="370" spans="1:30" ht="150" x14ac:dyDescent="0.25">
      <c r="A370" s="24" t="s">
        <v>1233</v>
      </c>
      <c r="B370" s="16">
        <v>80204250585</v>
      </c>
      <c r="C370" s="27" t="s">
        <v>141</v>
      </c>
      <c r="D370" s="27" t="s">
        <v>1234</v>
      </c>
      <c r="E370" s="27" t="s">
        <v>108</v>
      </c>
      <c r="J370" s="22" t="s">
        <v>1581</v>
      </c>
      <c r="L370" s="27" t="s">
        <v>1235</v>
      </c>
      <c r="Q370" s="21" t="s">
        <v>1236</v>
      </c>
      <c r="S370" s="27" t="s">
        <v>1237</v>
      </c>
      <c r="T370" s="13">
        <v>4250</v>
      </c>
      <c r="U370" s="23">
        <v>44748</v>
      </c>
      <c r="V370" s="23">
        <v>44748</v>
      </c>
      <c r="W370" s="13">
        <f>1704.55+1000</f>
        <v>2704.55</v>
      </c>
    </row>
    <row r="371" spans="1:30" ht="210" x14ac:dyDescent="0.25">
      <c r="A371" s="26" t="s">
        <v>1238</v>
      </c>
      <c r="B371" s="16">
        <v>80204250585</v>
      </c>
      <c r="C371" s="27" t="s">
        <v>141</v>
      </c>
      <c r="D371" s="27" t="s">
        <v>1248</v>
      </c>
      <c r="E371" s="22" t="s">
        <v>50</v>
      </c>
      <c r="F371" s="22"/>
      <c r="G371" s="22"/>
      <c r="H371" s="22"/>
      <c r="I371" s="22"/>
      <c r="K371" s="22"/>
      <c r="L371" s="22"/>
      <c r="M371" s="22"/>
      <c r="N371" s="21"/>
      <c r="O371" s="21"/>
      <c r="P371" s="22"/>
      <c r="Q371" s="21" t="s">
        <v>1249</v>
      </c>
      <c r="R371" s="21"/>
      <c r="S371" s="22" t="s">
        <v>1250</v>
      </c>
      <c r="T371" s="13">
        <v>7050319.1100000003</v>
      </c>
      <c r="U371" s="23">
        <v>44743</v>
      </c>
      <c r="V371" s="23">
        <v>45838</v>
      </c>
      <c r="W371" s="13">
        <f>1869326.02+48823.4+49002.95</f>
        <v>1967152.3699999999</v>
      </c>
    </row>
    <row r="372" spans="1:30" ht="60" x14ac:dyDescent="0.25">
      <c r="A372" s="26" t="s">
        <v>1239</v>
      </c>
      <c r="B372" s="16">
        <v>80204250585</v>
      </c>
      <c r="C372" s="27" t="s">
        <v>141</v>
      </c>
      <c r="D372" s="27" t="s">
        <v>1240</v>
      </c>
      <c r="E372" s="22" t="s">
        <v>108</v>
      </c>
      <c r="F372" s="22"/>
      <c r="G372" s="22"/>
      <c r="H372" s="22"/>
      <c r="I372" s="22"/>
      <c r="J372" s="22" t="s">
        <v>1567</v>
      </c>
      <c r="K372" s="22"/>
      <c r="L372" s="22" t="s">
        <v>1566</v>
      </c>
      <c r="M372" s="22"/>
      <c r="N372" s="21"/>
      <c r="O372" s="21"/>
      <c r="P372" s="22"/>
      <c r="Q372" s="21" t="s">
        <v>88</v>
      </c>
      <c r="R372" s="21"/>
      <c r="S372" s="22" t="s">
        <v>89</v>
      </c>
      <c r="T372" s="13">
        <v>61890</v>
      </c>
      <c r="U372" s="23">
        <v>44748</v>
      </c>
      <c r="V372" s="23">
        <v>45113</v>
      </c>
      <c r="W372" s="13">
        <v>61890</v>
      </c>
    </row>
    <row r="373" spans="1:30" ht="105" x14ac:dyDescent="0.25">
      <c r="A373" s="26" t="s">
        <v>1241</v>
      </c>
      <c r="B373" s="16">
        <v>80204250585</v>
      </c>
      <c r="C373" s="27" t="s">
        <v>141</v>
      </c>
      <c r="D373" s="27" t="s">
        <v>1242</v>
      </c>
      <c r="E373" s="27" t="s">
        <v>50</v>
      </c>
      <c r="Q373" s="21">
        <v>13464671000</v>
      </c>
      <c r="S373" s="27" t="s">
        <v>919</v>
      </c>
      <c r="T373" s="13">
        <v>4920</v>
      </c>
      <c r="U373" s="23">
        <v>44805</v>
      </c>
      <c r="V373" s="23">
        <v>45138</v>
      </c>
      <c r="W373" s="13">
        <v>10728</v>
      </c>
    </row>
    <row r="374" spans="1:30" ht="135" x14ac:dyDescent="0.25">
      <c r="A374" s="24" t="s">
        <v>1243</v>
      </c>
      <c r="B374" s="16">
        <v>80204250585</v>
      </c>
      <c r="C374" s="27" t="s">
        <v>141</v>
      </c>
      <c r="D374" s="27" t="s">
        <v>1244</v>
      </c>
      <c r="E374" s="22" t="s">
        <v>108</v>
      </c>
      <c r="F374" s="22"/>
      <c r="G374" s="22"/>
      <c r="H374" s="22"/>
      <c r="I374" s="22"/>
      <c r="K374" s="22"/>
      <c r="L374" s="22"/>
      <c r="M374" s="22"/>
      <c r="N374" s="21"/>
      <c r="O374" s="21"/>
      <c r="P374" s="22"/>
      <c r="Q374" s="21" t="s">
        <v>1584</v>
      </c>
      <c r="R374" s="21"/>
      <c r="S374" s="22" t="s">
        <v>1245</v>
      </c>
      <c r="T374" s="13">
        <v>37438</v>
      </c>
      <c r="U374" s="23">
        <v>44732</v>
      </c>
      <c r="V374" s="23">
        <v>44733</v>
      </c>
      <c r="W374" s="13">
        <f>37231.44</f>
        <v>37231.440000000002</v>
      </c>
    </row>
    <row r="375" spans="1:30" ht="60" x14ac:dyDescent="0.25">
      <c r="A375" s="26" t="s">
        <v>1246</v>
      </c>
      <c r="B375" s="16">
        <v>80204250585</v>
      </c>
      <c r="C375" s="27" t="s">
        <v>141</v>
      </c>
      <c r="D375" s="22" t="s">
        <v>1247</v>
      </c>
      <c r="E375" s="22" t="s">
        <v>54</v>
      </c>
      <c r="F375" s="22"/>
      <c r="H375" s="22"/>
      <c r="I375" s="22"/>
      <c r="J375" s="22" t="s">
        <v>330</v>
      </c>
      <c r="K375" s="22"/>
      <c r="L375" s="22" t="s">
        <v>331</v>
      </c>
      <c r="M375" s="22"/>
      <c r="O375" s="21"/>
      <c r="P375" s="22"/>
      <c r="Q375" s="21" t="s">
        <v>330</v>
      </c>
      <c r="R375" s="21"/>
      <c r="S375" s="22" t="s">
        <v>331</v>
      </c>
      <c r="T375" s="13">
        <v>171000</v>
      </c>
      <c r="U375" s="23">
        <v>44713</v>
      </c>
      <c r="V375" s="23">
        <v>45808</v>
      </c>
      <c r="W375" s="13">
        <v>0</v>
      </c>
    </row>
    <row r="376" spans="1:30" ht="105" x14ac:dyDescent="0.25">
      <c r="A376" s="16" t="s">
        <v>1159</v>
      </c>
      <c r="B376" s="21" t="s">
        <v>468</v>
      </c>
      <c r="C376" s="22" t="s">
        <v>48</v>
      </c>
      <c r="D376" s="27" t="s">
        <v>1265</v>
      </c>
      <c r="E376" s="27" t="s">
        <v>83</v>
      </c>
      <c r="F376" s="16"/>
      <c r="G376" s="16"/>
      <c r="H376" s="16"/>
      <c r="J376" s="36" t="s">
        <v>1568</v>
      </c>
      <c r="K376" s="16"/>
      <c r="L376" s="27" t="s">
        <v>1258</v>
      </c>
      <c r="Q376" s="21" t="s">
        <v>369</v>
      </c>
      <c r="S376" s="27" t="s">
        <v>1134</v>
      </c>
      <c r="T376" s="13">
        <v>89000</v>
      </c>
      <c r="U376" s="23">
        <v>44728</v>
      </c>
      <c r="V376" s="23">
        <v>45092</v>
      </c>
      <c r="W376" s="13">
        <v>66750</v>
      </c>
      <c r="AA376" s="16"/>
      <c r="AB376" s="16"/>
      <c r="AC376" s="16"/>
      <c r="AD376" s="16"/>
    </row>
    <row r="377" spans="1:30" ht="75" x14ac:dyDescent="0.25">
      <c r="A377" s="16" t="s">
        <v>1259</v>
      </c>
      <c r="B377" s="21" t="s">
        <v>468</v>
      </c>
      <c r="C377" s="22" t="s">
        <v>48</v>
      </c>
      <c r="D377" s="37" t="s">
        <v>1266</v>
      </c>
      <c r="E377" s="22" t="s">
        <v>108</v>
      </c>
      <c r="F377" s="16"/>
      <c r="G377" s="16"/>
      <c r="H377" s="16"/>
      <c r="J377" s="35" t="s">
        <v>1120</v>
      </c>
      <c r="K377" s="16"/>
      <c r="L377" s="37" t="s">
        <v>1121</v>
      </c>
      <c r="Q377" s="35" t="s">
        <v>1120</v>
      </c>
      <c r="S377" s="37" t="s">
        <v>1121</v>
      </c>
      <c r="T377" s="13">
        <v>1000</v>
      </c>
      <c r="U377" s="23">
        <v>44743</v>
      </c>
      <c r="V377" s="23">
        <v>44926</v>
      </c>
      <c r="W377" s="13">
        <v>0</v>
      </c>
      <c r="AA377" s="16"/>
      <c r="AB377" s="16"/>
      <c r="AC377" s="16"/>
      <c r="AD377" s="16"/>
    </row>
    <row r="378" spans="1:30" ht="90" x14ac:dyDescent="0.25">
      <c r="A378" s="21" t="s">
        <v>1260</v>
      </c>
      <c r="B378" s="21" t="s">
        <v>468</v>
      </c>
      <c r="C378" s="22" t="s">
        <v>48</v>
      </c>
      <c r="D378" s="37" t="s">
        <v>1261</v>
      </c>
      <c r="E378" s="22" t="s">
        <v>108</v>
      </c>
      <c r="F378" s="16"/>
      <c r="G378" s="16"/>
      <c r="H378" s="16"/>
      <c r="J378" s="35" t="s">
        <v>1124</v>
      </c>
      <c r="K378" s="16"/>
      <c r="L378" s="37" t="s">
        <v>1125</v>
      </c>
      <c r="Q378" s="35" t="s">
        <v>1124</v>
      </c>
      <c r="S378" s="37" t="s">
        <v>1125</v>
      </c>
      <c r="T378" s="13">
        <v>8000</v>
      </c>
      <c r="U378" s="23">
        <v>44743</v>
      </c>
      <c r="V378" s="23">
        <v>44926</v>
      </c>
      <c r="W378" s="13">
        <f>64.75+35+150+92+309+35</f>
        <v>685.75</v>
      </c>
      <c r="AA378" s="16"/>
      <c r="AB378" s="16"/>
      <c r="AC378" s="16"/>
      <c r="AD378" s="16"/>
    </row>
    <row r="379" spans="1:30" ht="60" x14ac:dyDescent="0.25">
      <c r="A379" s="21" t="s">
        <v>1262</v>
      </c>
      <c r="B379" s="21" t="s">
        <v>468</v>
      </c>
      <c r="C379" s="22" t="s">
        <v>48</v>
      </c>
      <c r="D379" s="37" t="s">
        <v>1263</v>
      </c>
      <c r="E379" s="22" t="s">
        <v>108</v>
      </c>
      <c r="F379" s="16"/>
      <c r="G379" s="16"/>
      <c r="H379" s="16"/>
      <c r="J379" s="35" t="s">
        <v>1128</v>
      </c>
      <c r="K379" s="16"/>
      <c r="L379" s="37" t="s">
        <v>1129</v>
      </c>
      <c r="Q379" s="35" t="s">
        <v>1128</v>
      </c>
      <c r="S379" s="37" t="s">
        <v>1129</v>
      </c>
      <c r="T379" s="13">
        <v>3000</v>
      </c>
      <c r="U379" s="23">
        <v>44743</v>
      </c>
      <c r="V379" s="23">
        <v>44926</v>
      </c>
      <c r="W379" s="13">
        <v>0</v>
      </c>
      <c r="AA379" s="16"/>
      <c r="AB379" s="16"/>
      <c r="AC379" s="16"/>
      <c r="AD379" s="16"/>
    </row>
    <row r="380" spans="1:30" ht="45" x14ac:dyDescent="0.25">
      <c r="A380" s="38" t="s">
        <v>1267</v>
      </c>
      <c r="B380" s="38" t="s">
        <v>468</v>
      </c>
      <c r="C380" s="39" t="s">
        <v>48</v>
      </c>
      <c r="D380" s="39" t="s">
        <v>1268</v>
      </c>
      <c r="E380" s="39" t="s">
        <v>108</v>
      </c>
      <c r="F380" s="38"/>
      <c r="G380" s="38"/>
      <c r="H380" s="38"/>
      <c r="I380" s="39"/>
      <c r="J380" s="40"/>
      <c r="K380" s="38"/>
      <c r="L380" s="39"/>
      <c r="M380" s="39"/>
      <c r="N380" s="38"/>
      <c r="O380" s="38"/>
      <c r="P380" s="39"/>
      <c r="Q380" s="40" t="s">
        <v>78</v>
      </c>
      <c r="R380" s="38"/>
      <c r="S380" s="39" t="s">
        <v>1269</v>
      </c>
      <c r="T380" s="41">
        <v>30.16</v>
      </c>
      <c r="U380" s="42"/>
      <c r="V380" s="42"/>
      <c r="W380" s="13">
        <v>30.16</v>
      </c>
      <c r="Y380" s="43"/>
      <c r="Z380" s="43"/>
      <c r="AA380" s="44"/>
      <c r="AB380" s="43"/>
      <c r="AC380" s="43"/>
      <c r="AD380" s="43"/>
    </row>
    <row r="381" spans="1:30" ht="75" x14ac:dyDescent="0.25">
      <c r="A381" s="45" t="s">
        <v>1270</v>
      </c>
      <c r="B381" s="45">
        <v>80204250585</v>
      </c>
      <c r="C381" s="45" t="s">
        <v>141</v>
      </c>
      <c r="D381" s="45" t="s">
        <v>1271</v>
      </c>
      <c r="E381" s="27" t="s">
        <v>108</v>
      </c>
      <c r="F381" s="45"/>
      <c r="G381" s="45"/>
      <c r="H381" s="45"/>
      <c r="I381" s="45"/>
      <c r="J381" s="46"/>
      <c r="K381" s="45"/>
      <c r="L381" s="45"/>
      <c r="M381" s="45"/>
      <c r="N381" s="45"/>
      <c r="O381" s="45"/>
      <c r="P381" s="45"/>
      <c r="Q381" s="46" t="s">
        <v>1184</v>
      </c>
      <c r="R381" s="45"/>
      <c r="S381" s="45" t="s">
        <v>641</v>
      </c>
      <c r="T381" s="14">
        <v>671.39</v>
      </c>
      <c r="U381" s="47">
        <v>44774</v>
      </c>
      <c r="V381" s="47">
        <v>45138</v>
      </c>
      <c r="W381" s="14">
        <v>671.39</v>
      </c>
      <c r="AA381" s="45"/>
    </row>
    <row r="382" spans="1:30" ht="105" x14ac:dyDescent="0.25">
      <c r="A382" s="45" t="s">
        <v>1272</v>
      </c>
      <c r="B382" s="45">
        <v>80204250585</v>
      </c>
      <c r="C382" s="45" t="s">
        <v>141</v>
      </c>
      <c r="D382" s="45" t="s">
        <v>1273</v>
      </c>
      <c r="E382" s="48" t="s">
        <v>108</v>
      </c>
      <c r="F382" s="45"/>
      <c r="G382" s="45"/>
      <c r="H382" s="45"/>
      <c r="I382" s="45"/>
      <c r="J382" s="46">
        <v>10991370155</v>
      </c>
      <c r="K382" s="45"/>
      <c r="L382" s="45" t="s">
        <v>1274</v>
      </c>
      <c r="M382" s="45"/>
      <c r="N382" s="45"/>
      <c r="O382" s="45"/>
      <c r="P382" s="45"/>
      <c r="Q382" s="46" t="s">
        <v>1081</v>
      </c>
      <c r="R382" s="45"/>
      <c r="S382" s="45" t="s">
        <v>825</v>
      </c>
      <c r="T382" s="14">
        <v>82000</v>
      </c>
      <c r="U382" s="47">
        <v>44805</v>
      </c>
      <c r="V382" s="47">
        <v>45016</v>
      </c>
      <c r="W382" s="14">
        <f>30000+40000+12000</f>
        <v>82000</v>
      </c>
      <c r="AA382" s="45"/>
    </row>
    <row r="383" spans="1:30" ht="120" x14ac:dyDescent="0.25">
      <c r="A383" s="45" t="s">
        <v>1276</v>
      </c>
      <c r="B383" s="45">
        <v>80204250585</v>
      </c>
      <c r="C383" s="45" t="s">
        <v>141</v>
      </c>
      <c r="D383" s="45" t="s">
        <v>1496</v>
      </c>
      <c r="E383" s="45" t="s">
        <v>1291</v>
      </c>
      <c r="F383" s="45"/>
      <c r="G383" s="45"/>
      <c r="H383" s="45"/>
      <c r="I383" s="45"/>
      <c r="J383" s="49" t="s">
        <v>1277</v>
      </c>
      <c r="L383" s="45" t="s">
        <v>1293</v>
      </c>
      <c r="M383" s="45"/>
      <c r="N383" s="45"/>
      <c r="O383" s="45"/>
      <c r="P383" s="45"/>
      <c r="Q383" s="46" t="s">
        <v>1277</v>
      </c>
      <c r="R383" s="45"/>
      <c r="S383" s="45" t="s">
        <v>150</v>
      </c>
      <c r="T383" s="14">
        <v>16000</v>
      </c>
      <c r="U383" s="47">
        <v>44830</v>
      </c>
      <c r="V383" s="47">
        <v>45001</v>
      </c>
      <c r="W383" s="14">
        <f>8000+8000</f>
        <v>16000</v>
      </c>
      <c r="AA383" s="45"/>
    </row>
    <row r="384" spans="1:30" ht="135" x14ac:dyDescent="0.25">
      <c r="A384" s="46" t="s">
        <v>1601</v>
      </c>
      <c r="B384" s="45">
        <v>80204250585</v>
      </c>
      <c r="C384" s="45" t="s">
        <v>141</v>
      </c>
      <c r="D384" s="45" t="s">
        <v>1278</v>
      </c>
      <c r="E384" s="22" t="s">
        <v>108</v>
      </c>
      <c r="F384" s="45"/>
      <c r="G384" s="45"/>
      <c r="H384" s="45"/>
      <c r="I384" s="45"/>
      <c r="J384" s="46"/>
      <c r="K384" s="45"/>
      <c r="L384" s="45"/>
      <c r="M384" s="45"/>
      <c r="N384" s="45"/>
      <c r="O384" s="45"/>
      <c r="P384" s="45"/>
      <c r="Q384" s="46" t="s">
        <v>1279</v>
      </c>
      <c r="R384" s="45"/>
      <c r="S384" s="45" t="s">
        <v>1280</v>
      </c>
      <c r="T384" s="14">
        <v>5000</v>
      </c>
      <c r="U384" s="47">
        <v>44851</v>
      </c>
      <c r="V384" s="47">
        <v>45230</v>
      </c>
      <c r="W384" s="14">
        <v>0</v>
      </c>
    </row>
    <row r="385" spans="1:30" ht="120" x14ac:dyDescent="0.25">
      <c r="A385" s="45" t="s">
        <v>1281</v>
      </c>
      <c r="B385" s="45">
        <v>80204250585</v>
      </c>
      <c r="C385" s="45" t="s">
        <v>141</v>
      </c>
      <c r="D385" s="45" t="s">
        <v>1282</v>
      </c>
      <c r="E385" s="27" t="s">
        <v>108</v>
      </c>
      <c r="F385" s="45"/>
      <c r="G385" s="45"/>
      <c r="H385" s="45"/>
      <c r="I385" s="45"/>
      <c r="J385" s="46"/>
      <c r="K385" s="45"/>
      <c r="L385" s="45"/>
      <c r="M385" s="45"/>
      <c r="N385" s="45"/>
      <c r="O385" s="45"/>
      <c r="P385" s="45"/>
      <c r="Q385" s="46" t="s">
        <v>1283</v>
      </c>
      <c r="R385" s="45"/>
      <c r="S385" s="45" t="s">
        <v>593</v>
      </c>
      <c r="T385" s="14">
        <v>31982.5</v>
      </c>
      <c r="U385" s="47">
        <v>44785</v>
      </c>
      <c r="V385" s="47">
        <v>45149</v>
      </c>
      <c r="W385" s="14">
        <f>265.63+218.75+218.75+490+194.44+8621.5</f>
        <v>10009.07</v>
      </c>
    </row>
    <row r="386" spans="1:30" ht="90" x14ac:dyDescent="0.25">
      <c r="A386" s="45" t="s">
        <v>1284</v>
      </c>
      <c r="B386" s="45">
        <v>80204250585</v>
      </c>
      <c r="C386" s="45" t="s">
        <v>141</v>
      </c>
      <c r="D386" s="45" t="s">
        <v>1285</v>
      </c>
      <c r="E386" s="27" t="s">
        <v>108</v>
      </c>
      <c r="F386" s="45"/>
      <c r="G386" s="45"/>
      <c r="H386" s="45"/>
      <c r="I386" s="45"/>
      <c r="J386" s="46">
        <v>4982350581</v>
      </c>
      <c r="K386" s="45"/>
      <c r="L386" s="45" t="s">
        <v>1286</v>
      </c>
      <c r="M386" s="45"/>
      <c r="N386" s="45"/>
      <c r="O386" s="45"/>
      <c r="P386" s="45"/>
      <c r="Q386" s="46" t="s">
        <v>1497</v>
      </c>
      <c r="R386" s="45"/>
      <c r="S386" s="45" t="s">
        <v>1287</v>
      </c>
      <c r="T386" s="14">
        <v>133500</v>
      </c>
      <c r="U386" s="47">
        <v>44835</v>
      </c>
      <c r="V386" s="47">
        <v>45291</v>
      </c>
      <c r="W386" s="15">
        <f>9488.03*13</f>
        <v>123344.39000000001</v>
      </c>
      <c r="AA386" s="45"/>
      <c r="AD386" s="59"/>
    </row>
    <row r="387" spans="1:30" ht="90" x14ac:dyDescent="0.25">
      <c r="A387" s="24" t="s">
        <v>1288</v>
      </c>
      <c r="B387" s="38" t="s">
        <v>468</v>
      </c>
      <c r="C387" s="39" t="s">
        <v>48</v>
      </c>
      <c r="D387" s="27" t="s">
        <v>1289</v>
      </c>
      <c r="E387" s="27" t="s">
        <v>50</v>
      </c>
      <c r="Q387" s="32" t="s">
        <v>1319</v>
      </c>
      <c r="S387" s="27" t="s">
        <v>1318</v>
      </c>
      <c r="T387" s="13">
        <v>1619.2</v>
      </c>
      <c r="U387" s="23">
        <v>44803</v>
      </c>
      <c r="V387" s="23">
        <v>45534</v>
      </c>
      <c r="W387" s="13">
        <v>0</v>
      </c>
    </row>
    <row r="388" spans="1:30" ht="75" x14ac:dyDescent="0.25">
      <c r="A388" s="24" t="s">
        <v>1290</v>
      </c>
      <c r="B388" s="38" t="s">
        <v>468</v>
      </c>
      <c r="C388" s="39" t="s">
        <v>48</v>
      </c>
      <c r="D388" s="27" t="s">
        <v>1702</v>
      </c>
      <c r="E388" s="27" t="s">
        <v>658</v>
      </c>
      <c r="T388" s="13">
        <v>0</v>
      </c>
      <c r="W388" s="13">
        <v>0</v>
      </c>
    </row>
    <row r="389" spans="1:30" ht="90" x14ac:dyDescent="0.25">
      <c r="A389" s="24" t="s">
        <v>1320</v>
      </c>
      <c r="B389" s="38" t="s">
        <v>468</v>
      </c>
      <c r="C389" s="39" t="s">
        <v>48</v>
      </c>
      <c r="D389" s="27" t="s">
        <v>1321</v>
      </c>
      <c r="E389" s="27" t="s">
        <v>108</v>
      </c>
      <c r="S389" s="27" t="s">
        <v>1322</v>
      </c>
      <c r="T389" s="13">
        <v>173.6</v>
      </c>
      <c r="U389" s="23">
        <v>44832</v>
      </c>
      <c r="V389" s="23">
        <v>44842</v>
      </c>
      <c r="W389" s="13">
        <v>0</v>
      </c>
    </row>
    <row r="390" spans="1:30" ht="75" x14ac:dyDescent="0.25">
      <c r="A390" s="24" t="s">
        <v>1323</v>
      </c>
      <c r="B390" s="38" t="s">
        <v>468</v>
      </c>
      <c r="C390" s="39" t="s">
        <v>48</v>
      </c>
      <c r="D390" s="27" t="s">
        <v>1324</v>
      </c>
      <c r="E390" s="27" t="s">
        <v>108</v>
      </c>
      <c r="Q390" s="22" t="s">
        <v>1326</v>
      </c>
      <c r="S390" s="27" t="s">
        <v>1325</v>
      </c>
      <c r="T390" s="13">
        <v>795.6</v>
      </c>
      <c r="U390" s="23">
        <v>44772</v>
      </c>
      <c r="V390" s="23">
        <v>44819</v>
      </c>
      <c r="W390" s="13">
        <v>780</v>
      </c>
    </row>
    <row r="391" spans="1:30" ht="60" x14ac:dyDescent="0.25">
      <c r="A391" s="24" t="s">
        <v>1327</v>
      </c>
      <c r="B391" s="38" t="s">
        <v>468</v>
      </c>
      <c r="C391" s="39" t="s">
        <v>48</v>
      </c>
      <c r="D391" s="27" t="s">
        <v>1330</v>
      </c>
      <c r="E391" s="27" t="s">
        <v>108</v>
      </c>
      <c r="Q391" s="32" t="s">
        <v>1329</v>
      </c>
      <c r="S391" s="27" t="s">
        <v>1328</v>
      </c>
      <c r="T391" s="13">
        <v>17700</v>
      </c>
      <c r="U391" s="23">
        <v>44835</v>
      </c>
      <c r="V391" s="23">
        <v>45930</v>
      </c>
      <c r="W391" s="13">
        <v>0</v>
      </c>
    </row>
    <row r="392" spans="1:30" ht="45" x14ac:dyDescent="0.25">
      <c r="A392" s="24" t="s">
        <v>1332</v>
      </c>
      <c r="B392" s="38" t="s">
        <v>468</v>
      </c>
      <c r="C392" s="39" t="s">
        <v>48</v>
      </c>
      <c r="D392" s="27" t="s">
        <v>1334</v>
      </c>
      <c r="E392" s="27" t="s">
        <v>108</v>
      </c>
      <c r="Q392" s="32" t="s">
        <v>1146</v>
      </c>
      <c r="S392" s="27" t="s">
        <v>1336</v>
      </c>
      <c r="T392" s="13">
        <v>1295</v>
      </c>
      <c r="U392" s="23">
        <v>44756</v>
      </c>
      <c r="V392" s="23">
        <v>44761</v>
      </c>
      <c r="W392" s="13">
        <v>114.55</v>
      </c>
    </row>
    <row r="393" spans="1:30" ht="45" x14ac:dyDescent="0.25">
      <c r="A393" s="24" t="s">
        <v>1331</v>
      </c>
      <c r="B393" s="38" t="s">
        <v>468</v>
      </c>
      <c r="C393" s="39" t="s">
        <v>48</v>
      </c>
      <c r="D393" s="27" t="s">
        <v>1333</v>
      </c>
      <c r="E393" s="27" t="s">
        <v>108</v>
      </c>
      <c r="Q393" s="32" t="s">
        <v>1337</v>
      </c>
      <c r="S393" s="27" t="s">
        <v>1335</v>
      </c>
      <c r="T393" s="13">
        <v>1476</v>
      </c>
      <c r="U393" s="23">
        <v>44833</v>
      </c>
      <c r="V393" s="23">
        <v>44926</v>
      </c>
      <c r="W393" s="13">
        <v>1230</v>
      </c>
    </row>
    <row r="394" spans="1:30" ht="165" x14ac:dyDescent="0.25">
      <c r="A394" s="24" t="s">
        <v>1338</v>
      </c>
      <c r="B394" s="38" t="s">
        <v>468</v>
      </c>
      <c r="C394" s="39" t="s">
        <v>48</v>
      </c>
      <c r="D394" s="27" t="s">
        <v>1339</v>
      </c>
      <c r="E394" s="27" t="s">
        <v>658</v>
      </c>
      <c r="J394" s="50" t="s">
        <v>1343</v>
      </c>
      <c r="L394" s="27" t="s">
        <v>1342</v>
      </c>
      <c r="Q394" s="32" t="s">
        <v>1149</v>
      </c>
      <c r="S394" s="27" t="s">
        <v>1534</v>
      </c>
      <c r="T394" s="13">
        <v>206424</v>
      </c>
      <c r="U394" s="23">
        <v>44896</v>
      </c>
      <c r="V394" s="23">
        <v>45260</v>
      </c>
      <c r="W394" s="13">
        <v>103212</v>
      </c>
    </row>
    <row r="395" spans="1:30" ht="90" x14ac:dyDescent="0.25">
      <c r="A395" s="24" t="s">
        <v>1340</v>
      </c>
      <c r="B395" s="38" t="s">
        <v>468</v>
      </c>
      <c r="C395" s="39" t="s">
        <v>48</v>
      </c>
      <c r="D395" s="27" t="s">
        <v>1341</v>
      </c>
      <c r="E395" s="27" t="s">
        <v>50</v>
      </c>
      <c r="Q395" s="32" t="s">
        <v>1344</v>
      </c>
      <c r="S395" s="27" t="s">
        <v>926</v>
      </c>
      <c r="T395" s="13">
        <v>282879.40000000002</v>
      </c>
      <c r="U395" s="23">
        <v>44774</v>
      </c>
      <c r="V395" s="23">
        <v>44926</v>
      </c>
      <c r="W395" s="13">
        <v>183786.15</v>
      </c>
    </row>
    <row r="396" spans="1:30" ht="120" x14ac:dyDescent="0.25">
      <c r="A396" s="28" t="s">
        <v>1345</v>
      </c>
      <c r="B396" s="21">
        <v>80204250585</v>
      </c>
      <c r="C396" s="22" t="s">
        <v>141</v>
      </c>
      <c r="D396" s="22" t="s">
        <v>405</v>
      </c>
      <c r="E396" s="22" t="s">
        <v>108</v>
      </c>
      <c r="F396" s="22"/>
      <c r="H396" s="22"/>
      <c r="I396" s="22"/>
      <c r="K396" s="22"/>
      <c r="L396" s="22"/>
      <c r="M396" s="22"/>
      <c r="O396" s="21"/>
      <c r="P396" s="22"/>
      <c r="Q396" s="21">
        <v>14309031004</v>
      </c>
      <c r="R396" s="21"/>
      <c r="S396" s="22" t="s">
        <v>406</v>
      </c>
      <c r="T396" s="13">
        <v>2028</v>
      </c>
      <c r="U396" s="23">
        <v>44743</v>
      </c>
      <c r="V396" s="23">
        <v>45839</v>
      </c>
      <c r="W396" s="13">
        <v>676</v>
      </c>
    </row>
    <row r="397" spans="1:30" ht="90" x14ac:dyDescent="0.25">
      <c r="A397" s="24" t="s">
        <v>1346</v>
      </c>
      <c r="B397" s="21">
        <v>80204250585</v>
      </c>
      <c r="C397" s="27" t="s">
        <v>141</v>
      </c>
      <c r="D397" s="27" t="s">
        <v>1347</v>
      </c>
      <c r="E397" s="22" t="s">
        <v>108</v>
      </c>
      <c r="Q397" s="21" t="s">
        <v>1589</v>
      </c>
      <c r="S397" s="27" t="s">
        <v>383</v>
      </c>
      <c r="T397" s="13">
        <v>786</v>
      </c>
      <c r="U397" s="23">
        <v>44726</v>
      </c>
      <c r="V397" s="23">
        <v>44726</v>
      </c>
      <c r="W397" s="13">
        <v>0</v>
      </c>
    </row>
    <row r="398" spans="1:30" ht="45" x14ac:dyDescent="0.25">
      <c r="A398" s="24" t="s">
        <v>1351</v>
      </c>
      <c r="B398" s="21">
        <v>80204250585</v>
      </c>
      <c r="C398" s="27" t="s">
        <v>141</v>
      </c>
      <c r="D398" s="27" t="s">
        <v>1350</v>
      </c>
      <c r="E398" s="27" t="s">
        <v>108</v>
      </c>
      <c r="S398" s="27" t="s">
        <v>1355</v>
      </c>
      <c r="T398" s="13">
        <v>0</v>
      </c>
      <c r="W398" s="13">
        <v>1300</v>
      </c>
    </row>
    <row r="399" spans="1:30" ht="105" x14ac:dyDescent="0.25">
      <c r="A399" s="24" t="s">
        <v>1353</v>
      </c>
      <c r="B399" s="21">
        <v>80204250585</v>
      </c>
      <c r="C399" s="27" t="s">
        <v>141</v>
      </c>
      <c r="D399" s="27" t="s">
        <v>1352</v>
      </c>
      <c r="E399" s="27" t="s">
        <v>108</v>
      </c>
      <c r="S399" s="27" t="s">
        <v>1354</v>
      </c>
      <c r="T399" s="13">
        <v>0</v>
      </c>
      <c r="W399" s="13">
        <v>327.87</v>
      </c>
    </row>
    <row r="400" spans="1:30" ht="90" x14ac:dyDescent="0.25">
      <c r="A400" s="43" t="s">
        <v>1356</v>
      </c>
      <c r="B400" s="38" t="s">
        <v>468</v>
      </c>
      <c r="C400" s="39" t="s">
        <v>48</v>
      </c>
      <c r="D400" s="51" t="s">
        <v>1357</v>
      </c>
      <c r="E400" s="39" t="s">
        <v>50</v>
      </c>
      <c r="F400" s="51" t="s">
        <v>1358</v>
      </c>
      <c r="G400" s="43"/>
      <c r="H400" s="43" t="s">
        <v>1359</v>
      </c>
      <c r="I400" s="39" t="s">
        <v>903</v>
      </c>
      <c r="J400" s="52"/>
      <c r="K400" s="43"/>
      <c r="L400" s="51"/>
      <c r="M400" s="51" t="s">
        <v>1358</v>
      </c>
      <c r="N400" s="38"/>
      <c r="O400" s="43" t="s">
        <v>1359</v>
      </c>
      <c r="P400" s="51" t="s">
        <v>903</v>
      </c>
      <c r="Q400" s="40"/>
      <c r="R400" s="53"/>
      <c r="S400" s="54"/>
      <c r="T400" s="41">
        <v>3096408.43</v>
      </c>
      <c r="U400" s="42">
        <v>41806</v>
      </c>
      <c r="V400" s="42">
        <v>44377</v>
      </c>
      <c r="W400" s="13">
        <v>3118749.53</v>
      </c>
      <c r="Y400" s="43"/>
      <c r="Z400" s="43"/>
      <c r="AA400" s="44"/>
      <c r="AB400" s="43"/>
      <c r="AC400" s="43"/>
      <c r="AD400" s="43"/>
    </row>
    <row r="401" spans="1:30" ht="165" x14ac:dyDescent="0.25">
      <c r="A401" s="16" t="s">
        <v>1360</v>
      </c>
      <c r="B401" s="13" t="s">
        <v>468</v>
      </c>
      <c r="C401" s="22" t="s">
        <v>48</v>
      </c>
      <c r="D401" s="27" t="s">
        <v>1361</v>
      </c>
      <c r="E401" s="22" t="s">
        <v>108</v>
      </c>
      <c r="F401" s="16"/>
      <c r="G401" s="16"/>
      <c r="H401" s="16"/>
      <c r="I401" s="16"/>
      <c r="J401" s="34" t="s">
        <v>1570</v>
      </c>
      <c r="K401" s="16"/>
      <c r="L401" s="27" t="s">
        <v>1569</v>
      </c>
      <c r="M401" s="16"/>
      <c r="P401" s="16"/>
      <c r="Q401" s="55" t="s">
        <v>1362</v>
      </c>
      <c r="S401" s="27" t="s">
        <v>1363</v>
      </c>
      <c r="T401" s="13">
        <v>35200</v>
      </c>
      <c r="U401" s="23">
        <v>44826</v>
      </c>
      <c r="V401" s="23">
        <v>45107</v>
      </c>
      <c r="W401" s="13">
        <f>(14080+21120)</f>
        <v>35200</v>
      </c>
      <c r="AA401" s="16"/>
      <c r="AB401" s="16"/>
      <c r="AC401" s="16"/>
      <c r="AD401" s="16"/>
    </row>
    <row r="402" spans="1:30" ht="120" x14ac:dyDescent="0.25">
      <c r="A402" s="16" t="s">
        <v>1364</v>
      </c>
      <c r="B402" s="21" t="s">
        <v>468</v>
      </c>
      <c r="C402" s="22" t="s">
        <v>48</v>
      </c>
      <c r="D402" s="27" t="s">
        <v>1370</v>
      </c>
      <c r="E402" s="22" t="s">
        <v>108</v>
      </c>
      <c r="F402" s="16"/>
      <c r="G402" s="16"/>
      <c r="H402" s="16"/>
      <c r="I402" s="16"/>
      <c r="J402" s="55" t="s">
        <v>793</v>
      </c>
      <c r="K402" s="16"/>
      <c r="L402" s="16" t="s">
        <v>1365</v>
      </c>
      <c r="M402" s="16"/>
      <c r="P402" s="16"/>
      <c r="Q402" s="55" t="s">
        <v>793</v>
      </c>
      <c r="S402" s="27" t="s">
        <v>1365</v>
      </c>
      <c r="T402" s="13">
        <v>15850</v>
      </c>
      <c r="U402" s="23">
        <v>44835</v>
      </c>
      <c r="V402" s="23">
        <v>44957</v>
      </c>
      <c r="W402" s="13">
        <v>14100</v>
      </c>
      <c r="AA402" s="16"/>
      <c r="AB402" s="16"/>
      <c r="AC402" s="16"/>
      <c r="AD402" s="16"/>
    </row>
    <row r="403" spans="1:30" ht="210" x14ac:dyDescent="0.25">
      <c r="A403" s="16" t="s">
        <v>1366</v>
      </c>
      <c r="B403" s="21" t="s">
        <v>468</v>
      </c>
      <c r="C403" s="22" t="s">
        <v>48</v>
      </c>
      <c r="D403" s="27" t="s">
        <v>1367</v>
      </c>
      <c r="E403" s="22" t="s">
        <v>108</v>
      </c>
      <c r="F403" s="16"/>
      <c r="G403" s="16"/>
      <c r="H403" s="16"/>
      <c r="I403" s="16"/>
      <c r="J403" s="36" t="s">
        <v>1572</v>
      </c>
      <c r="K403" s="16"/>
      <c r="L403" s="27" t="s">
        <v>1571</v>
      </c>
      <c r="M403" s="16"/>
      <c r="P403" s="16"/>
      <c r="Q403" s="35">
        <v>12852900153</v>
      </c>
      <c r="S403" s="27" t="s">
        <v>1368</v>
      </c>
      <c r="T403" s="13">
        <v>56950</v>
      </c>
      <c r="U403" s="23">
        <v>44767</v>
      </c>
      <c r="V403" s="23">
        <v>44925</v>
      </c>
      <c r="W403" s="13">
        <v>56950</v>
      </c>
      <c r="AA403" s="16"/>
      <c r="AB403" s="16"/>
      <c r="AC403" s="16"/>
      <c r="AD403" s="16"/>
    </row>
    <row r="404" spans="1:30" ht="45" x14ac:dyDescent="0.25">
      <c r="A404" s="56" t="s">
        <v>1373</v>
      </c>
      <c r="B404" s="57" t="s">
        <v>468</v>
      </c>
      <c r="C404" s="48" t="s">
        <v>1371</v>
      </c>
      <c r="D404" s="48" t="s">
        <v>1374</v>
      </c>
      <c r="E404" s="48" t="s">
        <v>108</v>
      </c>
      <c r="F404" s="57"/>
      <c r="G404" s="57"/>
      <c r="H404" s="57"/>
      <c r="I404" s="57"/>
      <c r="J404" s="58" t="s">
        <v>1329</v>
      </c>
      <c r="K404" s="59" t="s">
        <v>1372</v>
      </c>
      <c r="L404" s="48" t="s">
        <v>1375</v>
      </c>
      <c r="M404" s="59" t="s">
        <v>1372</v>
      </c>
      <c r="N404" s="59" t="s">
        <v>1372</v>
      </c>
      <c r="O404" s="59" t="s">
        <v>1372</v>
      </c>
      <c r="P404" s="57"/>
      <c r="Q404" s="58" t="s">
        <v>1329</v>
      </c>
      <c r="R404" s="57" t="s">
        <v>1372</v>
      </c>
      <c r="S404" s="48" t="s">
        <v>1375</v>
      </c>
      <c r="T404" s="15">
        <v>17700</v>
      </c>
      <c r="U404" s="60">
        <v>44835</v>
      </c>
      <c r="V404" s="60">
        <v>45930</v>
      </c>
      <c r="W404" s="13">
        <v>0</v>
      </c>
      <c r="Y404" s="93"/>
      <c r="Z404" s="93"/>
      <c r="AA404" s="57"/>
      <c r="AB404" s="57"/>
      <c r="AC404" s="57"/>
      <c r="AD404" s="59"/>
    </row>
    <row r="405" spans="1:30" ht="90" x14ac:dyDescent="0.25">
      <c r="A405" s="56" t="s">
        <v>1376</v>
      </c>
      <c r="B405" s="57" t="s">
        <v>468</v>
      </c>
      <c r="C405" s="48" t="s">
        <v>1371</v>
      </c>
      <c r="D405" s="48" t="s">
        <v>1377</v>
      </c>
      <c r="E405" s="48" t="s">
        <v>54</v>
      </c>
      <c r="F405" s="57"/>
      <c r="G405" s="57"/>
      <c r="H405" s="57"/>
      <c r="I405" s="57"/>
      <c r="J405" s="57" t="s">
        <v>1372</v>
      </c>
      <c r="K405" s="59" t="s">
        <v>1372</v>
      </c>
      <c r="L405" s="48" t="s">
        <v>1378</v>
      </c>
      <c r="M405" s="59" t="s">
        <v>1372</v>
      </c>
      <c r="N405" s="59" t="s">
        <v>1372</v>
      </c>
      <c r="O405" s="59" t="s">
        <v>1372</v>
      </c>
      <c r="P405" s="57"/>
      <c r="Q405" s="57" t="s">
        <v>1372</v>
      </c>
      <c r="R405" s="57" t="s">
        <v>1372</v>
      </c>
      <c r="S405" s="48" t="s">
        <v>1378</v>
      </c>
      <c r="T405" s="15">
        <v>32000</v>
      </c>
      <c r="U405" s="60">
        <v>44927</v>
      </c>
      <c r="V405" s="60">
        <v>45291</v>
      </c>
      <c r="W405" s="13">
        <v>32000</v>
      </c>
      <c r="Y405" s="93"/>
      <c r="Z405" s="93"/>
      <c r="AA405" s="57"/>
      <c r="AB405" s="57"/>
      <c r="AC405" s="57"/>
      <c r="AD405" s="59"/>
    </row>
    <row r="406" spans="1:30" ht="150" x14ac:dyDescent="0.25">
      <c r="A406" s="56" t="s">
        <v>1379</v>
      </c>
      <c r="B406" s="57" t="s">
        <v>468</v>
      </c>
      <c r="C406" s="48" t="s">
        <v>1371</v>
      </c>
      <c r="D406" s="48" t="s">
        <v>1380</v>
      </c>
      <c r="E406" s="48" t="s">
        <v>50</v>
      </c>
      <c r="F406" s="57"/>
      <c r="G406" s="57"/>
      <c r="H406" s="57"/>
      <c r="I406" s="57"/>
      <c r="J406" s="57" t="s">
        <v>1372</v>
      </c>
      <c r="K406" s="59" t="s">
        <v>1372</v>
      </c>
      <c r="L406" s="59" t="s">
        <v>1372</v>
      </c>
      <c r="M406" s="59" t="s">
        <v>1372</v>
      </c>
      <c r="N406" s="59" t="s">
        <v>1372</v>
      </c>
      <c r="O406" s="59" t="s">
        <v>1372</v>
      </c>
      <c r="P406" s="57"/>
      <c r="Q406" s="57" t="s">
        <v>371</v>
      </c>
      <c r="R406" s="57" t="s">
        <v>1372</v>
      </c>
      <c r="S406" s="48" t="s">
        <v>1381</v>
      </c>
      <c r="T406" s="15">
        <v>62241.2</v>
      </c>
      <c r="U406" s="60">
        <v>44927</v>
      </c>
      <c r="V406" s="60">
        <v>45322</v>
      </c>
      <c r="W406" s="13">
        <v>41132.080000000002</v>
      </c>
      <c r="Y406" s="93"/>
      <c r="Z406" s="93"/>
      <c r="AA406" s="57"/>
      <c r="AB406" s="57"/>
      <c r="AC406" s="57"/>
      <c r="AD406" s="59"/>
    </row>
    <row r="407" spans="1:30" ht="60" x14ac:dyDescent="0.25">
      <c r="A407" s="56" t="s">
        <v>1382</v>
      </c>
      <c r="B407" s="57" t="s">
        <v>468</v>
      </c>
      <c r="C407" s="48" t="s">
        <v>1371</v>
      </c>
      <c r="D407" s="48" t="s">
        <v>1385</v>
      </c>
      <c r="E407" s="48" t="s">
        <v>54</v>
      </c>
      <c r="F407" s="57"/>
      <c r="G407" s="57"/>
      <c r="H407" s="57"/>
      <c r="I407" s="57"/>
      <c r="J407" s="57" t="s">
        <v>1372</v>
      </c>
      <c r="K407" s="59" t="s">
        <v>1372</v>
      </c>
      <c r="L407" s="59" t="s">
        <v>1372</v>
      </c>
      <c r="M407" s="59" t="s">
        <v>1372</v>
      </c>
      <c r="N407" s="59" t="s">
        <v>1372</v>
      </c>
      <c r="O407" s="59" t="s">
        <v>1372</v>
      </c>
      <c r="P407" s="57"/>
      <c r="Q407" s="57" t="s">
        <v>1372</v>
      </c>
      <c r="R407" s="57" t="s">
        <v>1372</v>
      </c>
      <c r="S407" s="48" t="s">
        <v>1386</v>
      </c>
      <c r="T407" s="15">
        <v>260328.12</v>
      </c>
      <c r="U407" s="60">
        <v>44927</v>
      </c>
      <c r="V407" s="60">
        <v>45291</v>
      </c>
      <c r="W407" s="13">
        <v>65082.05</v>
      </c>
      <c r="Y407" s="93"/>
      <c r="Z407" s="93"/>
      <c r="AA407" s="57"/>
      <c r="AB407" s="57"/>
      <c r="AC407" s="57"/>
      <c r="AD407" s="59"/>
    </row>
    <row r="408" spans="1:30" ht="165" x14ac:dyDescent="0.25">
      <c r="A408" s="56" t="s">
        <v>1383</v>
      </c>
      <c r="B408" s="57" t="s">
        <v>468</v>
      </c>
      <c r="C408" s="48" t="s">
        <v>1371</v>
      </c>
      <c r="D408" s="48" t="s">
        <v>1387</v>
      </c>
      <c r="E408" s="48" t="s">
        <v>108</v>
      </c>
      <c r="F408" s="57"/>
      <c r="G408" s="57"/>
      <c r="H408" s="57"/>
      <c r="I408" s="57"/>
      <c r="J408" s="57">
        <v>13241301004</v>
      </c>
      <c r="K408" s="59" t="s">
        <v>1372</v>
      </c>
      <c r="L408" s="59" t="s">
        <v>1522</v>
      </c>
      <c r="M408" s="59" t="s">
        <v>1372</v>
      </c>
      <c r="N408" s="59" t="s">
        <v>1372</v>
      </c>
      <c r="O408" s="59" t="s">
        <v>1372</v>
      </c>
      <c r="P408" s="57"/>
      <c r="Q408" s="57">
        <v>13241301004</v>
      </c>
      <c r="R408" s="57"/>
      <c r="S408" s="59" t="s">
        <v>1522</v>
      </c>
      <c r="T408" s="15">
        <v>1200</v>
      </c>
      <c r="U408" s="60">
        <v>44847</v>
      </c>
      <c r="V408" s="60">
        <v>44847</v>
      </c>
      <c r="W408" s="13">
        <v>0</v>
      </c>
      <c r="Y408" s="93"/>
      <c r="Z408" s="93"/>
      <c r="AA408" s="57"/>
      <c r="AB408" s="57"/>
      <c r="AC408" s="57"/>
      <c r="AD408" s="59"/>
    </row>
    <row r="409" spans="1:30" ht="165" x14ac:dyDescent="0.25">
      <c r="A409" s="56" t="s">
        <v>1384</v>
      </c>
      <c r="B409" s="57" t="s">
        <v>468</v>
      </c>
      <c r="C409" s="48" t="s">
        <v>1371</v>
      </c>
      <c r="D409" s="48" t="s">
        <v>1388</v>
      </c>
      <c r="E409" s="48" t="s">
        <v>108</v>
      </c>
      <c r="F409" s="57"/>
      <c r="G409" s="57"/>
      <c r="H409" s="57"/>
      <c r="I409" s="57"/>
      <c r="J409" s="22" t="s">
        <v>1586</v>
      </c>
      <c r="K409" s="59" t="s">
        <v>1372</v>
      </c>
      <c r="L409" s="59" t="s">
        <v>1504</v>
      </c>
      <c r="M409" s="59" t="s">
        <v>1372</v>
      </c>
      <c r="N409" s="59" t="s">
        <v>1372</v>
      </c>
      <c r="O409" s="59" t="s">
        <v>1372</v>
      </c>
      <c r="P409" s="57"/>
      <c r="Q409" s="22" t="s">
        <v>1586</v>
      </c>
      <c r="R409" s="57" t="s">
        <v>1372</v>
      </c>
      <c r="S409" s="48" t="s">
        <v>1389</v>
      </c>
      <c r="T409" s="15">
        <v>320</v>
      </c>
      <c r="U409" s="60">
        <v>44847</v>
      </c>
      <c r="V409" s="60">
        <v>44847</v>
      </c>
      <c r="W409" s="13">
        <v>0</v>
      </c>
      <c r="Y409" s="93"/>
      <c r="Z409" s="93"/>
      <c r="AA409" s="57"/>
      <c r="AB409" s="57"/>
      <c r="AC409" s="57"/>
      <c r="AD409" s="59"/>
    </row>
    <row r="410" spans="1:30" ht="75" x14ac:dyDescent="0.25">
      <c r="A410" s="56" t="s">
        <v>1390</v>
      </c>
      <c r="B410" s="57" t="s">
        <v>468</v>
      </c>
      <c r="C410" s="48" t="s">
        <v>1371</v>
      </c>
      <c r="D410" s="48" t="s">
        <v>1398</v>
      </c>
      <c r="E410" s="48" t="s">
        <v>54</v>
      </c>
      <c r="F410" s="57"/>
      <c r="G410" s="57"/>
      <c r="H410" s="57"/>
      <c r="I410" s="57"/>
      <c r="J410" s="57">
        <v>2313821007</v>
      </c>
      <c r="K410" s="59" t="s">
        <v>1372</v>
      </c>
      <c r="L410" s="59" t="s">
        <v>1505</v>
      </c>
      <c r="M410" s="59" t="s">
        <v>1372</v>
      </c>
      <c r="N410" s="59" t="s">
        <v>1372</v>
      </c>
      <c r="O410" s="59" t="s">
        <v>1372</v>
      </c>
      <c r="P410" s="57"/>
      <c r="Q410" s="57" t="s">
        <v>488</v>
      </c>
      <c r="R410" s="57" t="s">
        <v>1372</v>
      </c>
      <c r="S410" s="48" t="s">
        <v>489</v>
      </c>
      <c r="T410" s="15">
        <v>18000</v>
      </c>
      <c r="U410" s="60">
        <v>44927</v>
      </c>
      <c r="V410" s="60">
        <v>45291</v>
      </c>
      <c r="W410" s="13">
        <v>0</v>
      </c>
      <c r="Y410" s="93"/>
      <c r="Z410" s="93"/>
      <c r="AA410" s="57"/>
      <c r="AB410" s="57"/>
      <c r="AC410" s="57"/>
      <c r="AD410" s="59"/>
    </row>
    <row r="411" spans="1:30" ht="60" x14ac:dyDescent="0.25">
      <c r="A411" s="56" t="s">
        <v>1391</v>
      </c>
      <c r="B411" s="57" t="s">
        <v>468</v>
      </c>
      <c r="C411" s="48" t="s">
        <v>1371</v>
      </c>
      <c r="D411" s="48" t="s">
        <v>1399</v>
      </c>
      <c r="E411" s="48" t="s">
        <v>54</v>
      </c>
      <c r="F411" s="57"/>
      <c r="G411" s="57"/>
      <c r="H411" s="57"/>
      <c r="I411" s="57"/>
      <c r="J411" s="57">
        <v>13211660157</v>
      </c>
      <c r="K411" s="59" t="s">
        <v>1372</v>
      </c>
      <c r="L411" s="59" t="s">
        <v>1506</v>
      </c>
      <c r="M411" s="59" t="s">
        <v>1372</v>
      </c>
      <c r="N411" s="59" t="s">
        <v>1372</v>
      </c>
      <c r="O411" s="59" t="s">
        <v>1372</v>
      </c>
      <c r="P411" s="57"/>
      <c r="Q411" s="61">
        <v>13211660157</v>
      </c>
      <c r="R411" s="57" t="s">
        <v>1372</v>
      </c>
      <c r="S411" s="48" t="s">
        <v>481</v>
      </c>
      <c r="T411" s="15">
        <v>12000</v>
      </c>
      <c r="U411" s="60">
        <v>44927</v>
      </c>
      <c r="V411" s="60">
        <v>45291</v>
      </c>
      <c r="W411" s="13">
        <f>3000+3000</f>
        <v>6000</v>
      </c>
      <c r="Y411" s="93"/>
      <c r="Z411" s="93"/>
      <c r="AA411" s="57"/>
      <c r="AB411" s="57"/>
      <c r="AC411" s="57"/>
      <c r="AD411" s="59"/>
    </row>
    <row r="412" spans="1:30" ht="60" x14ac:dyDescent="0.25">
      <c r="A412" s="56" t="s">
        <v>1392</v>
      </c>
      <c r="B412" s="57" t="s">
        <v>468</v>
      </c>
      <c r="C412" s="48" t="s">
        <v>1371</v>
      </c>
      <c r="D412" s="48" t="s">
        <v>1400</v>
      </c>
      <c r="E412" s="48" t="s">
        <v>54</v>
      </c>
      <c r="F412" s="57"/>
      <c r="G412" s="57"/>
      <c r="H412" s="57"/>
      <c r="I412" s="57"/>
      <c r="J412" s="62" t="s">
        <v>1401</v>
      </c>
      <c r="K412" s="59" t="s">
        <v>1372</v>
      </c>
      <c r="L412" s="59" t="s">
        <v>1507</v>
      </c>
      <c r="M412" s="59" t="s">
        <v>1372</v>
      </c>
      <c r="N412" s="59" t="s">
        <v>1372</v>
      </c>
      <c r="O412" s="59" t="s">
        <v>1372</v>
      </c>
      <c r="P412" s="57"/>
      <c r="Q412" s="57" t="s">
        <v>1401</v>
      </c>
      <c r="R412" s="57" t="s">
        <v>1372</v>
      </c>
      <c r="S412" s="48" t="s">
        <v>732</v>
      </c>
      <c r="T412" s="15">
        <v>5500</v>
      </c>
      <c r="U412" s="60">
        <v>44927</v>
      </c>
      <c r="V412" s="60">
        <v>45291</v>
      </c>
      <c r="W412" s="13">
        <f>1375+1375</f>
        <v>2750</v>
      </c>
      <c r="Y412" s="93"/>
      <c r="Z412" s="93"/>
      <c r="AA412" s="57"/>
      <c r="AB412" s="57"/>
      <c r="AC412" s="57"/>
      <c r="AD412" s="59"/>
    </row>
    <row r="413" spans="1:30" ht="60" x14ac:dyDescent="0.25">
      <c r="A413" s="56" t="s">
        <v>1393</v>
      </c>
      <c r="B413" s="57" t="s">
        <v>468</v>
      </c>
      <c r="C413" s="48" t="s">
        <v>1371</v>
      </c>
      <c r="D413" s="48" t="s">
        <v>1402</v>
      </c>
      <c r="E413" s="48" t="s">
        <v>54</v>
      </c>
      <c r="F413" s="57"/>
      <c r="G413" s="57"/>
      <c r="H413" s="57"/>
      <c r="I413" s="57"/>
      <c r="J413" s="57">
        <v>10556200961</v>
      </c>
      <c r="K413" s="59" t="s">
        <v>1372</v>
      </c>
      <c r="L413" s="59" t="s">
        <v>1508</v>
      </c>
      <c r="M413" s="59" t="s">
        <v>1372</v>
      </c>
      <c r="N413" s="59" t="s">
        <v>1372</v>
      </c>
      <c r="O413" s="59" t="s">
        <v>1372</v>
      </c>
      <c r="P413" s="57"/>
      <c r="Q413" s="57" t="s">
        <v>832</v>
      </c>
      <c r="R413" s="57" t="s">
        <v>1372</v>
      </c>
      <c r="S413" s="48" t="s">
        <v>735</v>
      </c>
      <c r="T413" s="15">
        <v>39000</v>
      </c>
      <c r="U413" s="60">
        <v>44927</v>
      </c>
      <c r="V413" s="60">
        <v>45291</v>
      </c>
      <c r="W413" s="13">
        <f>9750+9750</f>
        <v>19500</v>
      </c>
      <c r="Y413" s="93"/>
      <c r="Z413" s="93"/>
      <c r="AA413" s="57"/>
      <c r="AB413" s="57"/>
      <c r="AC413" s="57"/>
      <c r="AD413" s="59"/>
    </row>
    <row r="414" spans="1:30" ht="60" x14ac:dyDescent="0.25">
      <c r="A414" s="56" t="s">
        <v>1394</v>
      </c>
      <c r="B414" s="57" t="s">
        <v>468</v>
      </c>
      <c r="C414" s="48" t="s">
        <v>1371</v>
      </c>
      <c r="D414" s="48" t="s">
        <v>1403</v>
      </c>
      <c r="E414" s="48" t="s">
        <v>54</v>
      </c>
      <c r="F414" s="57"/>
      <c r="G414" s="57"/>
      <c r="H414" s="57"/>
      <c r="I414" s="57"/>
      <c r="J414" s="57">
        <v>10556200961</v>
      </c>
      <c r="K414" s="59" t="s">
        <v>1372</v>
      </c>
      <c r="L414" s="59" t="s">
        <v>1508</v>
      </c>
      <c r="M414" s="59" t="s">
        <v>1372</v>
      </c>
      <c r="N414" s="59" t="s">
        <v>1372</v>
      </c>
      <c r="O414" s="59" t="s">
        <v>1372</v>
      </c>
      <c r="P414" s="57"/>
      <c r="Q414" s="57" t="s">
        <v>832</v>
      </c>
      <c r="R414" s="57" t="s">
        <v>1372</v>
      </c>
      <c r="S414" s="48" t="s">
        <v>735</v>
      </c>
      <c r="T414" s="15">
        <v>10600</v>
      </c>
      <c r="U414" s="60">
        <v>44927</v>
      </c>
      <c r="V414" s="60">
        <v>45291</v>
      </c>
      <c r="W414" s="13">
        <f>2650+2650</f>
        <v>5300</v>
      </c>
      <c r="Y414" s="93"/>
      <c r="Z414" s="93"/>
      <c r="AA414" s="57"/>
      <c r="AB414" s="57"/>
      <c r="AC414" s="57"/>
      <c r="AD414" s="59"/>
    </row>
    <row r="415" spans="1:30" ht="60" x14ac:dyDescent="0.25">
      <c r="A415" s="56" t="s">
        <v>1395</v>
      </c>
      <c r="B415" s="57" t="s">
        <v>468</v>
      </c>
      <c r="C415" s="48" t="s">
        <v>1371</v>
      </c>
      <c r="D415" s="48" t="s">
        <v>1404</v>
      </c>
      <c r="E415" s="48" t="s">
        <v>54</v>
      </c>
      <c r="F415" s="57"/>
      <c r="G415" s="57"/>
      <c r="H415" s="57"/>
      <c r="I415" s="57"/>
      <c r="J415" s="57">
        <v>11139860156</v>
      </c>
      <c r="K415" s="59" t="s">
        <v>1372</v>
      </c>
      <c r="L415" s="59" t="s">
        <v>1509</v>
      </c>
      <c r="M415" s="59" t="s">
        <v>1372</v>
      </c>
      <c r="N415" s="59" t="s">
        <v>1372</v>
      </c>
      <c r="O415" s="59" t="s">
        <v>1372</v>
      </c>
      <c r="P415" s="57"/>
      <c r="Q415" s="57" t="s">
        <v>1405</v>
      </c>
      <c r="R415" s="57" t="s">
        <v>1372</v>
      </c>
      <c r="S415" s="48" t="s">
        <v>1019</v>
      </c>
      <c r="T415" s="15">
        <v>46085</v>
      </c>
      <c r="U415" s="60">
        <v>44927</v>
      </c>
      <c r="V415" s="60">
        <v>45291</v>
      </c>
      <c r="W415" s="13">
        <v>46085</v>
      </c>
      <c r="Y415" s="93"/>
      <c r="Z415" s="93"/>
      <c r="AA415" s="57"/>
      <c r="AB415" s="57"/>
      <c r="AC415" s="57"/>
      <c r="AD415" s="59"/>
    </row>
    <row r="416" spans="1:30" ht="60" x14ac:dyDescent="0.25">
      <c r="A416" s="56" t="s">
        <v>1396</v>
      </c>
      <c r="B416" s="57" t="s">
        <v>468</v>
      </c>
      <c r="C416" s="48" t="s">
        <v>1371</v>
      </c>
      <c r="D416" s="48" t="s">
        <v>1406</v>
      </c>
      <c r="E416" s="48" t="s">
        <v>54</v>
      </c>
      <c r="F416" s="57"/>
      <c r="G416" s="57"/>
      <c r="H416" s="57"/>
      <c r="I416" s="57"/>
      <c r="J416" s="57">
        <v>10100001006</v>
      </c>
      <c r="K416" s="59" t="s">
        <v>1372</v>
      </c>
      <c r="L416" s="59" t="s">
        <v>1510</v>
      </c>
      <c r="M416" s="59" t="s">
        <v>1372</v>
      </c>
      <c r="N416" s="59" t="s">
        <v>1372</v>
      </c>
      <c r="O416" s="59" t="s">
        <v>1372</v>
      </c>
      <c r="P416" s="57"/>
      <c r="Q416" s="57" t="s">
        <v>1407</v>
      </c>
      <c r="R416" s="57" t="s">
        <v>1372</v>
      </c>
      <c r="S416" s="48" t="s">
        <v>709</v>
      </c>
      <c r="T416" s="15">
        <v>18600</v>
      </c>
      <c r="U416" s="60">
        <v>44927</v>
      </c>
      <c r="V416" s="60">
        <v>45291</v>
      </c>
      <c r="W416" s="13">
        <f>4650*3</f>
        <v>13950</v>
      </c>
      <c r="Y416" s="93"/>
      <c r="Z416" s="93"/>
      <c r="AA416" s="57"/>
      <c r="AB416" s="57"/>
      <c r="AC416" s="57"/>
      <c r="AD416" s="59"/>
    </row>
    <row r="417" spans="1:30" ht="60" x14ac:dyDescent="0.25">
      <c r="A417" s="56" t="s">
        <v>1397</v>
      </c>
      <c r="B417" s="57" t="s">
        <v>468</v>
      </c>
      <c r="C417" s="48" t="s">
        <v>1371</v>
      </c>
      <c r="D417" s="48" t="s">
        <v>1408</v>
      </c>
      <c r="E417" s="48" t="s">
        <v>54</v>
      </c>
      <c r="F417" s="57"/>
      <c r="G417" s="57"/>
      <c r="H417" s="57"/>
      <c r="I417" s="57"/>
      <c r="J417" s="57">
        <v>10100001006</v>
      </c>
      <c r="K417" s="59" t="s">
        <v>1372</v>
      </c>
      <c r="L417" s="59" t="s">
        <v>1510</v>
      </c>
      <c r="M417" s="59" t="s">
        <v>1372</v>
      </c>
      <c r="N417" s="59" t="s">
        <v>1372</v>
      </c>
      <c r="O417" s="59" t="s">
        <v>1372</v>
      </c>
      <c r="P417" s="57"/>
      <c r="Q417" s="57" t="s">
        <v>1407</v>
      </c>
      <c r="R417" s="57" t="s">
        <v>1372</v>
      </c>
      <c r="S417" s="48" t="s">
        <v>709</v>
      </c>
      <c r="T417" s="15">
        <v>2148</v>
      </c>
      <c r="U417" s="60">
        <v>44927</v>
      </c>
      <c r="V417" s="60">
        <v>45291</v>
      </c>
      <c r="W417" s="13">
        <f>3350*3</f>
        <v>10050</v>
      </c>
      <c r="Y417" s="93"/>
      <c r="Z417" s="93"/>
      <c r="AA417" s="57"/>
      <c r="AB417" s="57"/>
      <c r="AC417" s="57"/>
      <c r="AD417" s="59"/>
    </row>
    <row r="418" spans="1:30" ht="90" x14ac:dyDescent="0.25">
      <c r="A418" s="56" t="s">
        <v>1409</v>
      </c>
      <c r="B418" s="57" t="s">
        <v>468</v>
      </c>
      <c r="C418" s="48" t="s">
        <v>1371</v>
      </c>
      <c r="D418" s="48" t="s">
        <v>1420</v>
      </c>
      <c r="E418" s="48" t="s">
        <v>50</v>
      </c>
      <c r="F418" s="57"/>
      <c r="G418" s="57"/>
      <c r="H418" s="57"/>
      <c r="I418" s="57"/>
      <c r="J418" s="57" t="s">
        <v>88</v>
      </c>
      <c r="K418" s="59" t="s">
        <v>1372</v>
      </c>
      <c r="L418" s="59" t="s">
        <v>1372</v>
      </c>
      <c r="M418" s="59" t="s">
        <v>1372</v>
      </c>
      <c r="N418" s="59" t="s">
        <v>1372</v>
      </c>
      <c r="O418" s="59" t="s">
        <v>1372</v>
      </c>
      <c r="P418" s="57"/>
      <c r="Q418" s="57" t="s">
        <v>88</v>
      </c>
      <c r="R418" s="57" t="s">
        <v>1372</v>
      </c>
      <c r="S418" s="48" t="s">
        <v>721</v>
      </c>
      <c r="T418" s="15">
        <v>105450.73</v>
      </c>
      <c r="U418" s="60">
        <v>44946</v>
      </c>
      <c r="V418" s="60">
        <v>45350</v>
      </c>
      <c r="W418" s="15">
        <v>105450.73</v>
      </c>
      <c r="Y418" s="93"/>
      <c r="Z418" s="93"/>
      <c r="AA418" s="57"/>
      <c r="AB418" s="57"/>
      <c r="AC418" s="57"/>
      <c r="AD418" s="59"/>
    </row>
    <row r="419" spans="1:30" ht="75" x14ac:dyDescent="0.25">
      <c r="A419" s="56" t="s">
        <v>1338</v>
      </c>
      <c r="B419" s="57" t="s">
        <v>468</v>
      </c>
      <c r="C419" s="48" t="s">
        <v>1371</v>
      </c>
      <c r="D419" s="48" t="s">
        <v>1421</v>
      </c>
      <c r="E419" s="48" t="s">
        <v>658</v>
      </c>
      <c r="F419" s="57"/>
      <c r="G419" s="57"/>
      <c r="H419" s="57"/>
      <c r="I419" s="57"/>
      <c r="J419" s="48" t="s">
        <v>1498</v>
      </c>
      <c r="K419" s="63" t="s">
        <v>1372</v>
      </c>
      <c r="L419" s="63" t="s">
        <v>1499</v>
      </c>
      <c r="M419" s="59" t="s">
        <v>1372</v>
      </c>
      <c r="N419" s="59" t="s">
        <v>1372</v>
      </c>
      <c r="O419" s="59" t="s">
        <v>1372</v>
      </c>
      <c r="P419" s="57"/>
      <c r="Q419" s="57" t="s">
        <v>1149</v>
      </c>
      <c r="R419" s="57" t="s">
        <v>1372</v>
      </c>
      <c r="S419" s="48" t="s">
        <v>1422</v>
      </c>
      <c r="T419" s="15">
        <v>206424</v>
      </c>
      <c r="U419" s="60">
        <v>44896</v>
      </c>
      <c r="V419" s="60">
        <v>45260</v>
      </c>
      <c r="W419" s="13">
        <v>0</v>
      </c>
      <c r="Y419" s="93"/>
      <c r="Z419" s="93"/>
      <c r="AA419" s="57"/>
      <c r="AB419" s="57"/>
      <c r="AC419" s="57"/>
      <c r="AD419" s="59"/>
    </row>
    <row r="420" spans="1:30" ht="45" x14ac:dyDescent="0.25">
      <c r="A420" s="56" t="s">
        <v>1410</v>
      </c>
      <c r="B420" s="57" t="s">
        <v>468</v>
      </c>
      <c r="C420" s="48" t="s">
        <v>1371</v>
      </c>
      <c r="D420" s="48" t="s">
        <v>1423</v>
      </c>
      <c r="E420" s="48" t="s">
        <v>108</v>
      </c>
      <c r="F420" s="57"/>
      <c r="G420" s="57"/>
      <c r="H420" s="57"/>
      <c r="I420" s="57"/>
      <c r="J420" s="57" t="s">
        <v>1372</v>
      </c>
      <c r="K420" s="59" t="s">
        <v>1372</v>
      </c>
      <c r="L420" s="59" t="s">
        <v>1372</v>
      </c>
      <c r="M420" s="59" t="s">
        <v>1372</v>
      </c>
      <c r="N420" s="59" t="s">
        <v>1372</v>
      </c>
      <c r="O420" s="59" t="s">
        <v>1372</v>
      </c>
      <c r="P420" s="57"/>
      <c r="Q420" s="57" t="s">
        <v>1372</v>
      </c>
      <c r="R420" s="57" t="s">
        <v>1372</v>
      </c>
      <c r="S420" s="48" t="s">
        <v>1424</v>
      </c>
      <c r="T420" s="15">
        <v>2400</v>
      </c>
      <c r="U420" s="60">
        <v>44896</v>
      </c>
      <c r="V420" s="60">
        <v>45626</v>
      </c>
      <c r="W420" s="13">
        <v>767.21</v>
      </c>
      <c r="Y420" s="93"/>
      <c r="Z420" s="93"/>
      <c r="AA420" s="57"/>
      <c r="AB420" s="57"/>
      <c r="AC420" s="57"/>
      <c r="AD420" s="59"/>
    </row>
    <row r="421" spans="1:30" ht="60" x14ac:dyDescent="0.25">
      <c r="A421" s="56" t="s">
        <v>1411</v>
      </c>
      <c r="B421" s="57" t="s">
        <v>468</v>
      </c>
      <c r="C421" s="48" t="s">
        <v>1371</v>
      </c>
      <c r="D421" s="48" t="s">
        <v>1425</v>
      </c>
      <c r="E421" s="48" t="s">
        <v>54</v>
      </c>
      <c r="F421" s="57"/>
      <c r="G421" s="57"/>
      <c r="H421" s="57"/>
      <c r="I421" s="57"/>
      <c r="J421" s="62" t="s">
        <v>1426</v>
      </c>
      <c r="K421" s="59" t="s">
        <v>1372</v>
      </c>
      <c r="L421" s="59" t="s">
        <v>1511</v>
      </c>
      <c r="M421" s="59" t="s">
        <v>1372</v>
      </c>
      <c r="N421" s="59" t="s">
        <v>1372</v>
      </c>
      <c r="O421" s="59" t="s">
        <v>1372</v>
      </c>
      <c r="P421" s="57"/>
      <c r="Q421" s="62" t="s">
        <v>1426</v>
      </c>
      <c r="R421" s="57" t="s">
        <v>1372</v>
      </c>
      <c r="S421" s="48" t="s">
        <v>1427</v>
      </c>
      <c r="T421" s="15">
        <v>19999</v>
      </c>
      <c r="U421" s="60">
        <v>44927</v>
      </c>
      <c r="V421" s="60">
        <v>45291</v>
      </c>
      <c r="W421" s="15">
        <v>9999.5</v>
      </c>
      <c r="Y421" s="93"/>
      <c r="Z421" s="93"/>
      <c r="AA421" s="57"/>
      <c r="AB421" s="57"/>
      <c r="AC421" s="57"/>
      <c r="AD421" s="59"/>
    </row>
    <row r="422" spans="1:30" ht="60" x14ac:dyDescent="0.25">
      <c r="A422" s="56" t="s">
        <v>1412</v>
      </c>
      <c r="B422" s="57" t="s">
        <v>468</v>
      </c>
      <c r="C422" s="48" t="s">
        <v>1371</v>
      </c>
      <c r="D422" s="48" t="s">
        <v>1428</v>
      </c>
      <c r="E422" s="48" t="s">
        <v>54</v>
      </c>
      <c r="F422" s="57"/>
      <c r="G422" s="57"/>
      <c r="H422" s="57"/>
      <c r="I422" s="57"/>
      <c r="J422" s="57">
        <v>10295850969</v>
      </c>
      <c r="K422" s="59" t="s">
        <v>1372</v>
      </c>
      <c r="L422" s="59" t="s">
        <v>1512</v>
      </c>
      <c r="M422" s="59" t="s">
        <v>1372</v>
      </c>
      <c r="N422" s="59" t="s">
        <v>1372</v>
      </c>
      <c r="O422" s="59" t="s">
        <v>1372</v>
      </c>
      <c r="P422" s="57"/>
      <c r="Q422" s="57" t="s">
        <v>1429</v>
      </c>
      <c r="R422" s="57" t="s">
        <v>1372</v>
      </c>
      <c r="S422" s="48" t="s">
        <v>306</v>
      </c>
      <c r="T422" s="15">
        <v>18720</v>
      </c>
      <c r="U422" s="60">
        <v>44927</v>
      </c>
      <c r="V422" s="60">
        <v>45291</v>
      </c>
      <c r="W422" s="15">
        <f>9360+4680</f>
        <v>14040</v>
      </c>
      <c r="Y422" s="93"/>
      <c r="Z422" s="93"/>
      <c r="AA422" s="57"/>
      <c r="AB422" s="57"/>
      <c r="AC422" s="57"/>
      <c r="AD422" s="59"/>
    </row>
    <row r="423" spans="1:30" ht="60" x14ac:dyDescent="0.25">
      <c r="A423" s="56" t="s">
        <v>1413</v>
      </c>
      <c r="B423" s="57" t="s">
        <v>468</v>
      </c>
      <c r="C423" s="48" t="s">
        <v>1371</v>
      </c>
      <c r="D423" s="48" t="s">
        <v>1430</v>
      </c>
      <c r="E423" s="48" t="s">
        <v>54</v>
      </c>
      <c r="F423" s="57"/>
      <c r="G423" s="57"/>
      <c r="H423" s="57"/>
      <c r="I423" s="57"/>
      <c r="J423" s="62" t="s">
        <v>1431</v>
      </c>
      <c r="K423" s="59" t="s">
        <v>1372</v>
      </c>
      <c r="L423" s="59" t="s">
        <v>1513</v>
      </c>
      <c r="M423" s="59" t="s">
        <v>1372</v>
      </c>
      <c r="N423" s="59" t="s">
        <v>1372</v>
      </c>
      <c r="O423" s="59" t="s">
        <v>1372</v>
      </c>
      <c r="P423" s="57"/>
      <c r="Q423" s="62" t="s">
        <v>1431</v>
      </c>
      <c r="R423" s="57" t="s">
        <v>1372</v>
      </c>
      <c r="S423" s="48" t="s">
        <v>1432</v>
      </c>
      <c r="T423" s="15">
        <v>30000</v>
      </c>
      <c r="U423" s="60">
        <v>44927</v>
      </c>
      <c r="V423" s="60">
        <v>45291</v>
      </c>
      <c r="W423" s="15">
        <v>0</v>
      </c>
      <c r="Y423" s="93"/>
      <c r="Z423" s="93"/>
      <c r="AA423" s="57"/>
      <c r="AB423" s="57"/>
      <c r="AC423" s="57"/>
      <c r="AD423" s="59"/>
    </row>
    <row r="424" spans="1:30" ht="60" x14ac:dyDescent="0.25">
      <c r="A424" s="56" t="s">
        <v>1414</v>
      </c>
      <c r="B424" s="57" t="s">
        <v>468</v>
      </c>
      <c r="C424" s="48" t="s">
        <v>1371</v>
      </c>
      <c r="D424" s="48" t="s">
        <v>1433</v>
      </c>
      <c r="E424" s="48" t="s">
        <v>54</v>
      </c>
      <c r="F424" s="57"/>
      <c r="G424" s="57"/>
      <c r="H424" s="57"/>
      <c r="I424" s="57"/>
      <c r="J424" s="62" t="s">
        <v>1434</v>
      </c>
      <c r="K424" s="59" t="s">
        <v>1372</v>
      </c>
      <c r="L424" s="59" t="s">
        <v>1514</v>
      </c>
      <c r="M424" s="59" t="s">
        <v>1372</v>
      </c>
      <c r="N424" s="59" t="s">
        <v>1372</v>
      </c>
      <c r="O424" s="59" t="s">
        <v>1372</v>
      </c>
      <c r="P424" s="57"/>
      <c r="Q424" s="62" t="s">
        <v>1434</v>
      </c>
      <c r="R424" s="57" t="s">
        <v>1372</v>
      </c>
      <c r="S424" s="48" t="s">
        <v>1435</v>
      </c>
      <c r="T424" s="15">
        <v>16750</v>
      </c>
      <c r="U424" s="60">
        <v>44927</v>
      </c>
      <c r="V424" s="60">
        <v>45291</v>
      </c>
      <c r="W424" s="15">
        <v>8375</v>
      </c>
      <c r="Y424" s="93"/>
      <c r="Z424" s="93"/>
      <c r="AA424" s="57"/>
      <c r="AB424" s="57"/>
      <c r="AC424" s="57"/>
      <c r="AD424" s="59"/>
    </row>
    <row r="425" spans="1:30" ht="60" x14ac:dyDescent="0.25">
      <c r="A425" s="56" t="s">
        <v>1415</v>
      </c>
      <c r="B425" s="57" t="s">
        <v>468</v>
      </c>
      <c r="C425" s="48" t="s">
        <v>1371</v>
      </c>
      <c r="D425" s="48" t="s">
        <v>1436</v>
      </c>
      <c r="E425" s="48" t="s">
        <v>54</v>
      </c>
      <c r="F425" s="57"/>
      <c r="G425" s="57"/>
      <c r="H425" s="57"/>
      <c r="I425" s="57"/>
      <c r="J425" s="57" t="s">
        <v>1372</v>
      </c>
      <c r="K425" s="59" t="s">
        <v>1372</v>
      </c>
      <c r="L425" s="59" t="s">
        <v>1372</v>
      </c>
      <c r="M425" s="59" t="s">
        <v>1372</v>
      </c>
      <c r="N425" s="59" t="s">
        <v>1372</v>
      </c>
      <c r="O425" s="59" t="s">
        <v>1372</v>
      </c>
      <c r="P425" s="57"/>
      <c r="Q425" s="57" t="s">
        <v>484</v>
      </c>
      <c r="R425" s="57"/>
      <c r="S425" s="48" t="s">
        <v>2595</v>
      </c>
      <c r="T425" s="15">
        <v>65000</v>
      </c>
      <c r="U425" s="60">
        <v>44927</v>
      </c>
      <c r="V425" s="60">
        <v>45291</v>
      </c>
      <c r="W425" s="13">
        <f>16168.75+16168.75</f>
        <v>32337.5</v>
      </c>
      <c r="Y425" s="93"/>
      <c r="Z425" s="93"/>
      <c r="AA425" s="57"/>
      <c r="AB425" s="57"/>
      <c r="AC425" s="57"/>
      <c r="AD425" s="59"/>
    </row>
    <row r="426" spans="1:30" ht="60" x14ac:dyDescent="0.25">
      <c r="A426" s="56" t="s">
        <v>1416</v>
      </c>
      <c r="B426" s="57" t="s">
        <v>468</v>
      </c>
      <c r="C426" s="48" t="s">
        <v>1371</v>
      </c>
      <c r="D426" s="48" t="s">
        <v>1437</v>
      </c>
      <c r="E426" s="48" t="s">
        <v>54</v>
      </c>
      <c r="F426" s="57"/>
      <c r="G426" s="57"/>
      <c r="H426" s="57"/>
      <c r="I426" s="57"/>
      <c r="J426" s="57">
        <v>10295850969</v>
      </c>
      <c r="K426" s="59" t="s">
        <v>1372</v>
      </c>
      <c r="L426" s="59" t="s">
        <v>1512</v>
      </c>
      <c r="M426" s="59" t="s">
        <v>1372</v>
      </c>
      <c r="N426" s="59" t="s">
        <v>1372</v>
      </c>
      <c r="O426" s="59" t="s">
        <v>1372</v>
      </c>
      <c r="P426" s="57"/>
      <c r="Q426" s="57" t="s">
        <v>1429</v>
      </c>
      <c r="R426" s="57" t="s">
        <v>1372</v>
      </c>
      <c r="S426" s="48" t="s">
        <v>306</v>
      </c>
      <c r="T426" s="15">
        <v>37200</v>
      </c>
      <c r="U426" s="60">
        <v>44927</v>
      </c>
      <c r="V426" s="60">
        <v>45291</v>
      </c>
      <c r="W426" s="15">
        <f>18600+9300</f>
        <v>27900</v>
      </c>
      <c r="Y426" s="93"/>
      <c r="Z426" s="93"/>
      <c r="AA426" s="57"/>
      <c r="AB426" s="57"/>
      <c r="AC426" s="57"/>
      <c r="AD426" s="59"/>
    </row>
    <row r="427" spans="1:30" ht="60" x14ac:dyDescent="0.25">
      <c r="A427" s="56" t="s">
        <v>1417</v>
      </c>
      <c r="B427" s="57" t="s">
        <v>468</v>
      </c>
      <c r="C427" s="48" t="s">
        <v>1371</v>
      </c>
      <c r="D427" s="48" t="s">
        <v>1438</v>
      </c>
      <c r="E427" s="48" t="s">
        <v>54</v>
      </c>
      <c r="F427" s="57"/>
      <c r="G427" s="57"/>
      <c r="H427" s="57"/>
      <c r="I427" s="57"/>
      <c r="J427" s="57" t="s">
        <v>1372</v>
      </c>
      <c r="K427" s="59" t="s">
        <v>1372</v>
      </c>
      <c r="L427" s="59" t="s">
        <v>1515</v>
      </c>
      <c r="M427" s="59" t="s">
        <v>1372</v>
      </c>
      <c r="N427" s="59" t="s">
        <v>1372</v>
      </c>
      <c r="O427" s="59" t="s">
        <v>1372</v>
      </c>
      <c r="P427" s="57"/>
      <c r="Q427" s="57" t="s">
        <v>1372</v>
      </c>
      <c r="R427" s="57" t="s">
        <v>1372</v>
      </c>
      <c r="S427" s="48" t="s">
        <v>1439</v>
      </c>
      <c r="T427" s="15">
        <v>23692.2</v>
      </c>
      <c r="U427" s="60">
        <v>44927</v>
      </c>
      <c r="V427" s="60">
        <v>45291</v>
      </c>
      <c r="W427" s="13">
        <v>0</v>
      </c>
      <c r="Y427" s="93"/>
      <c r="Z427" s="93"/>
      <c r="AA427" s="57"/>
      <c r="AB427" s="57"/>
      <c r="AC427" s="57"/>
      <c r="AD427" s="59"/>
    </row>
    <row r="428" spans="1:30" ht="60" x14ac:dyDescent="0.25">
      <c r="A428" s="56" t="s">
        <v>1418</v>
      </c>
      <c r="B428" s="57" t="s">
        <v>468</v>
      </c>
      <c r="C428" s="48" t="s">
        <v>1371</v>
      </c>
      <c r="D428" s="48" t="s">
        <v>1440</v>
      </c>
      <c r="E428" s="48" t="s">
        <v>164</v>
      </c>
      <c r="F428" s="57"/>
      <c r="G428" s="57"/>
      <c r="H428" s="57"/>
      <c r="I428" s="57"/>
      <c r="J428" s="57">
        <v>13211660157</v>
      </c>
      <c r="K428" s="59" t="s">
        <v>1372</v>
      </c>
      <c r="L428" s="59" t="s">
        <v>1506</v>
      </c>
      <c r="M428" s="59" t="s">
        <v>1372</v>
      </c>
      <c r="N428" s="59" t="s">
        <v>1372</v>
      </c>
      <c r="O428" s="59" t="s">
        <v>1372</v>
      </c>
      <c r="P428" s="57"/>
      <c r="Q428" s="61">
        <v>13211660157</v>
      </c>
      <c r="R428" s="57" t="s">
        <v>1372</v>
      </c>
      <c r="S428" s="48" t="s">
        <v>481</v>
      </c>
      <c r="T428" s="15">
        <v>65400</v>
      </c>
      <c r="U428" s="60">
        <v>44927</v>
      </c>
      <c r="V428" s="60">
        <v>46022</v>
      </c>
      <c r="W428" s="13">
        <f>4600+4600</f>
        <v>9200</v>
      </c>
      <c r="Y428" s="93"/>
      <c r="Z428" s="93"/>
      <c r="AA428" s="57"/>
      <c r="AB428" s="57"/>
      <c r="AC428" s="57"/>
      <c r="AD428" s="59"/>
    </row>
    <row r="429" spans="1:30" ht="75" x14ac:dyDescent="0.25">
      <c r="A429" s="56" t="s">
        <v>1419</v>
      </c>
      <c r="B429" s="57" t="s">
        <v>468</v>
      </c>
      <c r="C429" s="48" t="s">
        <v>1371</v>
      </c>
      <c r="D429" s="48" t="s">
        <v>1441</v>
      </c>
      <c r="E429" s="48" t="s">
        <v>54</v>
      </c>
      <c r="F429" s="57"/>
      <c r="G429" s="57"/>
      <c r="H429" s="57"/>
      <c r="I429" s="57"/>
      <c r="J429" s="57">
        <v>13211660157</v>
      </c>
      <c r="K429" s="59" t="s">
        <v>1372</v>
      </c>
      <c r="L429" s="59" t="s">
        <v>1506</v>
      </c>
      <c r="M429" s="59" t="s">
        <v>1372</v>
      </c>
      <c r="N429" s="59" t="s">
        <v>1372</v>
      </c>
      <c r="O429" s="59" t="s">
        <v>1372</v>
      </c>
      <c r="P429" s="57"/>
      <c r="Q429" s="61">
        <v>13211660157</v>
      </c>
      <c r="R429" s="57" t="s">
        <v>1372</v>
      </c>
      <c r="S429" s="48" t="s">
        <v>481</v>
      </c>
      <c r="T429" s="15">
        <v>56100</v>
      </c>
      <c r="U429" s="60">
        <v>44927</v>
      </c>
      <c r="V429" s="60">
        <v>46022</v>
      </c>
      <c r="W429" s="13">
        <f>9350+4675</f>
        <v>14025</v>
      </c>
      <c r="Y429" s="93"/>
      <c r="Z429" s="93"/>
      <c r="AA429" s="57"/>
      <c r="AB429" s="57"/>
      <c r="AC429" s="57"/>
      <c r="AD429" s="59"/>
    </row>
    <row r="430" spans="1:30" ht="105" x14ac:dyDescent="0.25">
      <c r="A430" s="56" t="s">
        <v>1442</v>
      </c>
      <c r="B430" s="57" t="s">
        <v>468</v>
      </c>
      <c r="C430" s="48" t="s">
        <v>1371</v>
      </c>
      <c r="D430" s="48" t="s">
        <v>1448</v>
      </c>
      <c r="E430" s="48" t="s">
        <v>108</v>
      </c>
      <c r="F430" s="57"/>
      <c r="G430" s="57"/>
      <c r="H430" s="57"/>
      <c r="I430" s="57"/>
      <c r="J430" s="57" t="s">
        <v>1372</v>
      </c>
      <c r="K430" s="59" t="s">
        <v>1372</v>
      </c>
      <c r="L430" s="59" t="s">
        <v>1372</v>
      </c>
      <c r="M430" s="59" t="s">
        <v>1372</v>
      </c>
      <c r="N430" s="59" t="s">
        <v>1372</v>
      </c>
      <c r="O430" s="59" t="s">
        <v>1372</v>
      </c>
      <c r="P430" s="57"/>
      <c r="Q430" s="57" t="s">
        <v>1449</v>
      </c>
      <c r="R430" s="57" t="s">
        <v>1372</v>
      </c>
      <c r="S430" s="48" t="s">
        <v>1450</v>
      </c>
      <c r="T430" s="15">
        <v>1944</v>
      </c>
      <c r="U430" s="60">
        <v>44927</v>
      </c>
      <c r="V430" s="60">
        <v>47118</v>
      </c>
      <c r="W430" s="13">
        <f>16200+81</f>
        <v>16281</v>
      </c>
      <c r="Y430" s="93"/>
      <c r="Z430" s="93"/>
      <c r="AA430" s="57"/>
      <c r="AB430" s="57"/>
      <c r="AC430" s="57"/>
      <c r="AD430" s="59"/>
    </row>
    <row r="431" spans="1:30" ht="150" x14ac:dyDescent="0.25">
      <c r="A431" s="56" t="s">
        <v>1443</v>
      </c>
      <c r="B431" s="57" t="s">
        <v>468</v>
      </c>
      <c r="C431" s="48" t="s">
        <v>1371</v>
      </c>
      <c r="D431" s="48" t="s">
        <v>1451</v>
      </c>
      <c r="E431" s="48" t="s">
        <v>108</v>
      </c>
      <c r="F431" s="57"/>
      <c r="G431" s="57"/>
      <c r="H431" s="57"/>
      <c r="I431" s="57"/>
      <c r="J431" s="57" t="s">
        <v>1372</v>
      </c>
      <c r="K431" s="59" t="s">
        <v>1372</v>
      </c>
      <c r="L431" s="59" t="s">
        <v>1372</v>
      </c>
      <c r="M431" s="59" t="s">
        <v>1372</v>
      </c>
      <c r="N431" s="59" t="s">
        <v>1372</v>
      </c>
      <c r="O431" s="59" t="s">
        <v>1372</v>
      </c>
      <c r="P431" s="57"/>
      <c r="Q431" s="62" t="s">
        <v>1533</v>
      </c>
      <c r="R431" s="57" t="s">
        <v>1372</v>
      </c>
      <c r="S431" s="48" t="s">
        <v>678</v>
      </c>
      <c r="T431" s="15">
        <v>2700</v>
      </c>
      <c r="U431" s="60">
        <v>44858</v>
      </c>
      <c r="V431" s="60">
        <v>44862</v>
      </c>
      <c r="W431" s="13">
        <v>0</v>
      </c>
      <c r="Y431" s="93"/>
      <c r="Z431" s="93"/>
      <c r="AA431" s="57"/>
      <c r="AB431" s="57"/>
      <c r="AC431" s="57"/>
      <c r="AD431" s="59"/>
    </row>
    <row r="432" spans="1:30" ht="165" x14ac:dyDescent="0.25">
      <c r="A432" s="56" t="s">
        <v>1444</v>
      </c>
      <c r="B432" s="57" t="s">
        <v>468</v>
      </c>
      <c r="C432" s="48" t="s">
        <v>1371</v>
      </c>
      <c r="D432" s="48" t="s">
        <v>1452</v>
      </c>
      <c r="E432" s="48" t="s">
        <v>658</v>
      </c>
      <c r="F432" s="57"/>
      <c r="G432" s="57"/>
      <c r="H432" s="57"/>
      <c r="I432" s="57"/>
      <c r="J432" s="48" t="s">
        <v>1501</v>
      </c>
      <c r="K432" s="59" t="s">
        <v>1372</v>
      </c>
      <c r="L432" s="63" t="s">
        <v>1500</v>
      </c>
      <c r="M432" s="59" t="s">
        <v>1372</v>
      </c>
      <c r="N432" s="59" t="s">
        <v>1372</v>
      </c>
      <c r="O432" s="59" t="s">
        <v>1372</v>
      </c>
      <c r="P432" s="57"/>
      <c r="Q432" s="57" t="s">
        <v>1453</v>
      </c>
      <c r="R432" s="57" t="s">
        <v>1372</v>
      </c>
      <c r="S432" s="48" t="s">
        <v>1454</v>
      </c>
      <c r="T432" s="15">
        <v>153180</v>
      </c>
      <c r="U432" s="60">
        <v>44927</v>
      </c>
      <c r="V432" s="60">
        <v>45291</v>
      </c>
      <c r="W432" s="13">
        <f>38295+38295</f>
        <v>76590</v>
      </c>
      <c r="Y432" s="93"/>
      <c r="Z432" s="93"/>
      <c r="AA432" s="57"/>
      <c r="AB432" s="57"/>
      <c r="AC432" s="57"/>
      <c r="AD432" s="59"/>
    </row>
    <row r="433" spans="1:30" ht="90" x14ac:dyDescent="0.25">
      <c r="A433" s="56" t="s">
        <v>1445</v>
      </c>
      <c r="B433" s="57" t="s">
        <v>468</v>
      </c>
      <c r="C433" s="48" t="s">
        <v>1371</v>
      </c>
      <c r="D433" s="48" t="s">
        <v>1455</v>
      </c>
      <c r="E433" s="48" t="s">
        <v>54</v>
      </c>
      <c r="F433" s="57"/>
      <c r="G433" s="57"/>
      <c r="H433" s="57"/>
      <c r="I433" s="57"/>
      <c r="J433" s="57" t="s">
        <v>1372</v>
      </c>
      <c r="K433" s="59" t="s">
        <v>1372</v>
      </c>
      <c r="L433" s="59" t="s">
        <v>1372</v>
      </c>
      <c r="M433" s="59" t="s">
        <v>1372</v>
      </c>
      <c r="N433" s="59" t="s">
        <v>1372</v>
      </c>
      <c r="O433" s="59" t="s">
        <v>1372</v>
      </c>
      <c r="P433" s="57"/>
      <c r="Q433" s="57" t="s">
        <v>626</v>
      </c>
      <c r="R433" s="57" t="s">
        <v>1372</v>
      </c>
      <c r="S433" s="48" t="s">
        <v>708</v>
      </c>
      <c r="T433" s="15">
        <v>21732.63</v>
      </c>
      <c r="U433" s="60">
        <v>44927</v>
      </c>
      <c r="V433" s="60">
        <v>45291</v>
      </c>
      <c r="W433" s="13">
        <f>5432.92+5432.92+5432.92</f>
        <v>16298.76</v>
      </c>
      <c r="Y433" s="93"/>
      <c r="Z433" s="93"/>
      <c r="AA433" s="57"/>
      <c r="AB433" s="57"/>
      <c r="AC433" s="57"/>
      <c r="AD433" s="59"/>
    </row>
    <row r="434" spans="1:30" ht="75" x14ac:dyDescent="0.25">
      <c r="A434" s="56" t="s">
        <v>1446</v>
      </c>
      <c r="B434" s="57" t="s">
        <v>468</v>
      </c>
      <c r="C434" s="48" t="s">
        <v>1371</v>
      </c>
      <c r="D434" s="48" t="s">
        <v>1602</v>
      </c>
      <c r="E434" s="48" t="s">
        <v>54</v>
      </c>
      <c r="F434" s="57"/>
      <c r="G434" s="57"/>
      <c r="H434" s="57"/>
      <c r="I434" s="57"/>
      <c r="J434" s="57" t="s">
        <v>1372</v>
      </c>
      <c r="K434" s="59" t="s">
        <v>1372</v>
      </c>
      <c r="L434" s="59" t="s">
        <v>1372</v>
      </c>
      <c r="M434" s="59" t="s">
        <v>1372</v>
      </c>
      <c r="N434" s="59" t="s">
        <v>1372</v>
      </c>
      <c r="O434" s="59" t="s">
        <v>1372</v>
      </c>
      <c r="P434" s="57"/>
      <c r="Q434" s="57" t="s">
        <v>1456</v>
      </c>
      <c r="R434" s="57" t="s">
        <v>1372</v>
      </c>
      <c r="S434" s="48" t="s">
        <v>715</v>
      </c>
      <c r="T434" s="15">
        <v>23530</v>
      </c>
      <c r="U434" s="60">
        <v>44927</v>
      </c>
      <c r="V434" s="60">
        <v>45657</v>
      </c>
      <c r="W434" s="13">
        <f>980.42*2+980.42*2+980.42*4</f>
        <v>7843.36</v>
      </c>
      <c r="Y434" s="93"/>
      <c r="Z434" s="93"/>
      <c r="AA434" s="57"/>
      <c r="AB434" s="57"/>
      <c r="AC434" s="57"/>
      <c r="AD434" s="59"/>
    </row>
    <row r="435" spans="1:30" ht="150" x14ac:dyDescent="0.25">
      <c r="A435" s="56" t="s">
        <v>1447</v>
      </c>
      <c r="B435" s="57" t="s">
        <v>468</v>
      </c>
      <c r="C435" s="48" t="s">
        <v>1371</v>
      </c>
      <c r="D435" s="48" t="s">
        <v>1457</v>
      </c>
      <c r="E435" s="48" t="s">
        <v>658</v>
      </c>
      <c r="F435" s="57"/>
      <c r="G435" s="57"/>
      <c r="H435" s="57"/>
      <c r="I435" s="57"/>
      <c r="J435" s="48" t="s">
        <v>1502</v>
      </c>
      <c r="K435" s="59" t="s">
        <v>1372</v>
      </c>
      <c r="L435" s="63" t="s">
        <v>1503</v>
      </c>
      <c r="M435" s="59" t="s">
        <v>1372</v>
      </c>
      <c r="N435" s="59" t="s">
        <v>1372</v>
      </c>
      <c r="O435" s="59" t="s">
        <v>1372</v>
      </c>
      <c r="P435" s="57"/>
      <c r="Q435" s="57" t="s">
        <v>322</v>
      </c>
      <c r="R435" s="57" t="s">
        <v>1372</v>
      </c>
      <c r="S435" s="48" t="s">
        <v>1458</v>
      </c>
      <c r="T435" s="15">
        <v>210000</v>
      </c>
      <c r="U435" s="60">
        <v>44927</v>
      </c>
      <c r="V435" s="60">
        <v>45657</v>
      </c>
      <c r="W435" s="13">
        <v>0</v>
      </c>
      <c r="Y435" s="93"/>
      <c r="Z435" s="93"/>
      <c r="AA435" s="57"/>
      <c r="AB435" s="57"/>
      <c r="AC435" s="57"/>
      <c r="AD435" s="59"/>
    </row>
    <row r="436" spans="1:30" ht="60" x14ac:dyDescent="0.25">
      <c r="A436" s="56" t="s">
        <v>1459</v>
      </c>
      <c r="B436" s="57" t="s">
        <v>468</v>
      </c>
      <c r="C436" s="48" t="s">
        <v>1371</v>
      </c>
      <c r="D436" s="48" t="s">
        <v>1461</v>
      </c>
      <c r="E436" s="48" t="s">
        <v>108</v>
      </c>
      <c r="F436" s="57"/>
      <c r="G436" s="57"/>
      <c r="H436" s="57"/>
      <c r="I436" s="57"/>
      <c r="J436" s="57" t="s">
        <v>1372</v>
      </c>
      <c r="K436" s="59" t="s">
        <v>1372</v>
      </c>
      <c r="L436" s="59" t="s">
        <v>1372</v>
      </c>
      <c r="M436" s="59" t="s">
        <v>1372</v>
      </c>
      <c r="N436" s="59" t="s">
        <v>1372</v>
      </c>
      <c r="O436" s="59" t="s">
        <v>1372</v>
      </c>
      <c r="P436" s="57"/>
      <c r="Q436" s="57" t="s">
        <v>435</v>
      </c>
      <c r="R436" s="57" t="s">
        <v>1372</v>
      </c>
      <c r="S436" s="48" t="s">
        <v>996</v>
      </c>
      <c r="T436" s="15">
        <v>12000</v>
      </c>
      <c r="U436" s="60">
        <v>44927</v>
      </c>
      <c r="V436" s="60">
        <v>45291</v>
      </c>
      <c r="W436" s="13">
        <f>14640/122*100</f>
        <v>12000</v>
      </c>
      <c r="Y436" s="93"/>
      <c r="Z436" s="93"/>
      <c r="AA436" s="57"/>
      <c r="AB436" s="57"/>
      <c r="AC436" s="57"/>
      <c r="AD436" s="59"/>
    </row>
    <row r="437" spans="1:30" ht="60" x14ac:dyDescent="0.25">
      <c r="A437" s="56" t="s">
        <v>1460</v>
      </c>
      <c r="B437" s="57" t="s">
        <v>468</v>
      </c>
      <c r="C437" s="48" t="s">
        <v>1371</v>
      </c>
      <c r="D437" s="48" t="s">
        <v>1462</v>
      </c>
      <c r="E437" s="48" t="s">
        <v>108</v>
      </c>
      <c r="F437" s="57"/>
      <c r="G437" s="57"/>
      <c r="H437" s="57"/>
      <c r="I437" s="57"/>
      <c r="J437" s="57" t="s">
        <v>1372</v>
      </c>
      <c r="K437" s="59" t="s">
        <v>1372</v>
      </c>
      <c r="L437" s="59" t="s">
        <v>1372</v>
      </c>
      <c r="M437" s="59" t="s">
        <v>1372</v>
      </c>
      <c r="N437" s="59" t="s">
        <v>1372</v>
      </c>
      <c r="O437" s="59" t="s">
        <v>1372</v>
      </c>
      <c r="P437" s="57"/>
      <c r="Q437" s="57" t="s">
        <v>435</v>
      </c>
      <c r="R437" s="57" t="s">
        <v>1372</v>
      </c>
      <c r="S437" s="48" t="s">
        <v>996</v>
      </c>
      <c r="T437" s="15">
        <v>5000</v>
      </c>
      <c r="U437" s="60">
        <v>44927</v>
      </c>
      <c r="V437" s="60">
        <v>45291</v>
      </c>
      <c r="W437" s="13">
        <f>6100/122*100</f>
        <v>5000</v>
      </c>
      <c r="Y437" s="93"/>
      <c r="Z437" s="93"/>
      <c r="AA437" s="57"/>
      <c r="AB437" s="57"/>
      <c r="AC437" s="57"/>
      <c r="AD437" s="59"/>
    </row>
    <row r="438" spans="1:30" ht="105" x14ac:dyDescent="0.25">
      <c r="A438" s="56" t="s">
        <v>1463</v>
      </c>
      <c r="B438" s="57" t="s">
        <v>468</v>
      </c>
      <c r="C438" s="48" t="s">
        <v>1371</v>
      </c>
      <c r="D438" s="48" t="s">
        <v>1464</v>
      </c>
      <c r="E438" s="48" t="s">
        <v>50</v>
      </c>
      <c r="F438" s="57"/>
      <c r="G438" s="57"/>
      <c r="H438" s="57"/>
      <c r="I438" s="57"/>
      <c r="J438" s="57" t="s">
        <v>1372</v>
      </c>
      <c r="K438" s="59" t="s">
        <v>1372</v>
      </c>
      <c r="L438" s="59" t="s">
        <v>1372</v>
      </c>
      <c r="M438" s="59" t="s">
        <v>1372</v>
      </c>
      <c r="N438" s="59" t="s">
        <v>1372</v>
      </c>
      <c r="O438" s="59" t="s">
        <v>1372</v>
      </c>
      <c r="P438" s="57"/>
      <c r="Q438" s="57" t="s">
        <v>1465</v>
      </c>
      <c r="R438" s="57" t="s">
        <v>1372</v>
      </c>
      <c r="S438" s="48" t="s">
        <v>926</v>
      </c>
      <c r="T438" s="15">
        <v>122350.29</v>
      </c>
      <c r="U438" s="60">
        <v>44927</v>
      </c>
      <c r="V438" s="60">
        <v>45016</v>
      </c>
      <c r="W438" s="13">
        <v>0</v>
      </c>
      <c r="Y438" s="93"/>
      <c r="Z438" s="93"/>
      <c r="AA438" s="57"/>
      <c r="AB438" s="57"/>
      <c r="AC438" s="57"/>
      <c r="AD438" s="59"/>
    </row>
    <row r="439" spans="1:30" ht="45" x14ac:dyDescent="0.25">
      <c r="A439" s="56" t="s">
        <v>1466</v>
      </c>
      <c r="B439" s="57" t="s">
        <v>468</v>
      </c>
      <c r="C439" s="48" t="s">
        <v>1371</v>
      </c>
      <c r="D439" s="48" t="s">
        <v>1473</v>
      </c>
      <c r="E439" s="48" t="s">
        <v>108</v>
      </c>
      <c r="F439" s="57"/>
      <c r="G439" s="57"/>
      <c r="H439" s="57"/>
      <c r="I439" s="57"/>
      <c r="J439" s="57">
        <v>14559061008</v>
      </c>
      <c r="K439" s="59" t="s">
        <v>1372</v>
      </c>
      <c r="L439" s="59" t="s">
        <v>1516</v>
      </c>
      <c r="M439" s="59" t="s">
        <v>1372</v>
      </c>
      <c r="N439" s="59" t="s">
        <v>1372</v>
      </c>
      <c r="O439" s="59" t="s">
        <v>1372</v>
      </c>
      <c r="P439" s="57"/>
      <c r="Q439" s="57" t="s">
        <v>1474</v>
      </c>
      <c r="R439" s="57" t="s">
        <v>1372</v>
      </c>
      <c r="S439" s="48" t="s">
        <v>1475</v>
      </c>
      <c r="T439" s="15">
        <v>19900</v>
      </c>
      <c r="U439" s="60">
        <v>44844</v>
      </c>
      <c r="V439" s="60">
        <v>45209</v>
      </c>
      <c r="W439" s="15">
        <v>19900</v>
      </c>
      <c r="Y439" s="93"/>
      <c r="Z439" s="93"/>
      <c r="AA439" s="57"/>
      <c r="AB439" s="57"/>
      <c r="AC439" s="57"/>
      <c r="AD439" s="59"/>
    </row>
    <row r="440" spans="1:30" ht="45" x14ac:dyDescent="0.25">
      <c r="A440" s="56" t="s">
        <v>1467</v>
      </c>
      <c r="B440" s="57" t="s">
        <v>468</v>
      </c>
      <c r="C440" s="48" t="s">
        <v>1371</v>
      </c>
      <c r="D440" s="48" t="s">
        <v>1476</v>
      </c>
      <c r="E440" s="48" t="s">
        <v>108</v>
      </c>
      <c r="F440" s="57"/>
      <c r="G440" s="57"/>
      <c r="H440" s="57"/>
      <c r="I440" s="57"/>
      <c r="J440" s="57">
        <v>10324250157</v>
      </c>
      <c r="K440" s="59" t="s">
        <v>1372</v>
      </c>
      <c r="L440" s="59" t="s">
        <v>1517</v>
      </c>
      <c r="M440" s="59" t="s">
        <v>1372</v>
      </c>
      <c r="N440" s="59" t="s">
        <v>1372</v>
      </c>
      <c r="O440" s="59" t="s">
        <v>1372</v>
      </c>
      <c r="P440" s="57"/>
      <c r="Q440" s="57" t="s">
        <v>1477</v>
      </c>
      <c r="R440" s="57" t="s">
        <v>1372</v>
      </c>
      <c r="S440" s="48" t="s">
        <v>1478</v>
      </c>
      <c r="T440" s="15">
        <v>24929.39</v>
      </c>
      <c r="U440" s="60">
        <v>44958</v>
      </c>
      <c r="V440" s="60">
        <v>45688</v>
      </c>
      <c r="W440" s="15">
        <f>3803.26+3117.43</f>
        <v>6920.6900000000005</v>
      </c>
      <c r="Y440" s="93"/>
      <c r="Z440" s="93"/>
      <c r="AA440" s="57"/>
      <c r="AB440" s="57"/>
      <c r="AC440" s="57"/>
      <c r="AD440" s="59"/>
    </row>
    <row r="441" spans="1:30" ht="60" x14ac:dyDescent="0.25">
      <c r="A441" s="56" t="s">
        <v>1468</v>
      </c>
      <c r="B441" s="57" t="s">
        <v>468</v>
      </c>
      <c r="C441" s="48" t="s">
        <v>1371</v>
      </c>
      <c r="D441" s="48" t="s">
        <v>1479</v>
      </c>
      <c r="E441" s="48" t="s">
        <v>54</v>
      </c>
      <c r="F441" s="57"/>
      <c r="G441" s="57"/>
      <c r="H441" s="57"/>
      <c r="I441" s="57"/>
      <c r="J441" s="62" t="s">
        <v>1480</v>
      </c>
      <c r="K441" s="59" t="s">
        <v>1372</v>
      </c>
      <c r="L441" s="59" t="s">
        <v>1518</v>
      </c>
      <c r="M441" s="59" t="s">
        <v>1372</v>
      </c>
      <c r="N441" s="59" t="s">
        <v>1372</v>
      </c>
      <c r="O441" s="59" t="s">
        <v>1372</v>
      </c>
      <c r="P441" s="57"/>
      <c r="Q441" s="62" t="s">
        <v>1480</v>
      </c>
      <c r="R441" s="57" t="s">
        <v>1372</v>
      </c>
      <c r="S441" s="48" t="s">
        <v>1481</v>
      </c>
      <c r="T441" s="15">
        <v>12336</v>
      </c>
      <c r="U441" s="60">
        <v>44882</v>
      </c>
      <c r="V441" s="60">
        <v>45247</v>
      </c>
      <c r="W441" s="15">
        <v>12336</v>
      </c>
      <c r="Y441" s="93"/>
      <c r="Z441" s="93"/>
      <c r="AA441" s="57"/>
      <c r="AB441" s="57"/>
      <c r="AC441" s="57"/>
      <c r="AD441" s="59"/>
    </row>
    <row r="442" spans="1:30" ht="45" x14ac:dyDescent="0.25">
      <c r="A442" s="56" t="s">
        <v>1469</v>
      </c>
      <c r="B442" s="57" t="s">
        <v>468</v>
      </c>
      <c r="C442" s="48" t="s">
        <v>1371</v>
      </c>
      <c r="D442" s="48" t="s">
        <v>1482</v>
      </c>
      <c r="E442" s="48" t="s">
        <v>108</v>
      </c>
      <c r="F442" s="57"/>
      <c r="G442" s="57"/>
      <c r="H442" s="57"/>
      <c r="I442" s="57"/>
      <c r="J442" s="62" t="s">
        <v>1483</v>
      </c>
      <c r="K442" s="59" t="s">
        <v>1372</v>
      </c>
      <c r="L442" s="59" t="s">
        <v>1519</v>
      </c>
      <c r="M442" s="59" t="s">
        <v>1372</v>
      </c>
      <c r="N442" s="59" t="s">
        <v>1372</v>
      </c>
      <c r="O442" s="59" t="s">
        <v>1372</v>
      </c>
      <c r="P442" s="57"/>
      <c r="Q442" s="62" t="s">
        <v>1483</v>
      </c>
      <c r="R442" s="57" t="s">
        <v>1372</v>
      </c>
      <c r="S442" s="48" t="s">
        <v>1484</v>
      </c>
      <c r="T442" s="15">
        <v>765</v>
      </c>
      <c r="U442" s="60">
        <v>44845</v>
      </c>
      <c r="V442" s="60">
        <v>45241</v>
      </c>
      <c r="W442" s="15">
        <v>765</v>
      </c>
      <c r="Y442" s="93"/>
      <c r="Z442" s="93"/>
      <c r="AA442" s="57"/>
      <c r="AB442" s="57"/>
      <c r="AC442" s="57"/>
      <c r="AD442" s="59"/>
    </row>
    <row r="443" spans="1:30" ht="45" x14ac:dyDescent="0.25">
      <c r="A443" s="56" t="s">
        <v>1470</v>
      </c>
      <c r="B443" s="57" t="s">
        <v>468</v>
      </c>
      <c r="C443" s="48" t="s">
        <v>1371</v>
      </c>
      <c r="D443" s="48" t="s">
        <v>1485</v>
      </c>
      <c r="E443" s="48" t="s">
        <v>108</v>
      </c>
      <c r="F443" s="57"/>
      <c r="G443" s="57"/>
      <c r="H443" s="57"/>
      <c r="I443" s="57"/>
      <c r="J443" s="57" t="s">
        <v>1372</v>
      </c>
      <c r="K443" s="59" t="s">
        <v>1372</v>
      </c>
      <c r="L443" s="59" t="s">
        <v>1372</v>
      </c>
      <c r="M443" s="59" t="s">
        <v>1372</v>
      </c>
      <c r="N443" s="59" t="s">
        <v>1372</v>
      </c>
      <c r="O443" s="59" t="s">
        <v>1372</v>
      </c>
      <c r="P443" s="57"/>
      <c r="Q443" s="57" t="s">
        <v>1486</v>
      </c>
      <c r="R443" s="57" t="s">
        <v>1372</v>
      </c>
      <c r="S443" s="48" t="s">
        <v>1022</v>
      </c>
      <c r="T443" s="15">
        <v>2197.25</v>
      </c>
      <c r="U443" s="60">
        <v>44918</v>
      </c>
      <c r="V443" s="60">
        <v>45283</v>
      </c>
      <c r="W443" s="15">
        <v>2197.25</v>
      </c>
      <c r="Y443" s="93"/>
      <c r="Z443" s="93"/>
      <c r="AA443" s="57"/>
      <c r="AB443" s="57"/>
      <c r="AC443" s="57"/>
      <c r="AD443" s="59"/>
    </row>
    <row r="444" spans="1:30" ht="120" x14ac:dyDescent="0.25">
      <c r="A444" s="56" t="s">
        <v>1471</v>
      </c>
      <c r="B444" s="57" t="s">
        <v>468</v>
      </c>
      <c r="C444" s="48" t="s">
        <v>1371</v>
      </c>
      <c r="D444" s="48" t="s">
        <v>1487</v>
      </c>
      <c r="E444" s="48" t="s">
        <v>108</v>
      </c>
      <c r="F444" s="57"/>
      <c r="G444" s="57"/>
      <c r="H444" s="57"/>
      <c r="I444" s="57"/>
      <c r="J444" s="57" t="s">
        <v>1372</v>
      </c>
      <c r="K444" s="59" t="s">
        <v>1372</v>
      </c>
      <c r="L444" s="59" t="s">
        <v>1372</v>
      </c>
      <c r="M444" s="59" t="s">
        <v>1372</v>
      </c>
      <c r="N444" s="59" t="s">
        <v>1372</v>
      </c>
      <c r="O444" s="59" t="s">
        <v>1372</v>
      </c>
      <c r="P444" s="57"/>
      <c r="Q444" s="57" t="s">
        <v>1488</v>
      </c>
      <c r="R444" s="57" t="s">
        <v>1372</v>
      </c>
      <c r="S444" s="48" t="s">
        <v>1489</v>
      </c>
      <c r="T444" s="15">
        <v>9000</v>
      </c>
      <c r="U444" s="60">
        <v>44915</v>
      </c>
      <c r="V444" s="60">
        <v>45035</v>
      </c>
      <c r="W444" s="13">
        <v>9360</v>
      </c>
      <c r="Y444" s="93"/>
      <c r="Z444" s="93"/>
      <c r="AA444" s="57"/>
      <c r="AB444" s="57"/>
      <c r="AC444" s="57"/>
      <c r="AD444" s="59"/>
    </row>
    <row r="445" spans="1:30" ht="60" x14ac:dyDescent="0.25">
      <c r="A445" s="56" t="s">
        <v>1415</v>
      </c>
      <c r="B445" s="57" t="s">
        <v>468</v>
      </c>
      <c r="C445" s="48" t="s">
        <v>1371</v>
      </c>
      <c r="D445" s="48" t="s">
        <v>1490</v>
      </c>
      <c r="E445" s="48" t="s">
        <v>54</v>
      </c>
      <c r="F445" s="57"/>
      <c r="G445" s="57"/>
      <c r="H445" s="57"/>
      <c r="I445" s="57"/>
      <c r="J445" s="62" t="s">
        <v>484</v>
      </c>
      <c r="K445" s="59" t="s">
        <v>1372</v>
      </c>
      <c r="L445" s="59" t="s">
        <v>1520</v>
      </c>
      <c r="M445" s="59" t="s">
        <v>1372</v>
      </c>
      <c r="N445" s="59" t="s">
        <v>1372</v>
      </c>
      <c r="O445" s="59" t="s">
        <v>1372</v>
      </c>
      <c r="P445" s="57"/>
      <c r="Q445" s="62" t="s">
        <v>484</v>
      </c>
      <c r="R445" s="57" t="s">
        <v>1372</v>
      </c>
      <c r="S445" s="48" t="s">
        <v>722</v>
      </c>
      <c r="T445" s="15">
        <v>65000</v>
      </c>
      <c r="U445" s="60">
        <v>44927</v>
      </c>
      <c r="V445" s="60">
        <v>45291</v>
      </c>
      <c r="W445" s="15">
        <v>0</v>
      </c>
      <c r="Y445" s="93"/>
      <c r="Z445" s="93"/>
      <c r="AA445" s="57"/>
      <c r="AB445" s="57"/>
      <c r="AC445" s="57"/>
      <c r="AD445" s="59"/>
    </row>
    <row r="446" spans="1:30" ht="45" x14ac:dyDescent="0.25">
      <c r="A446" s="56" t="s">
        <v>1472</v>
      </c>
      <c r="B446" s="57" t="s">
        <v>468</v>
      </c>
      <c r="C446" s="48" t="s">
        <v>1371</v>
      </c>
      <c r="D446" s="48" t="s">
        <v>1491</v>
      </c>
      <c r="E446" s="48" t="s">
        <v>108</v>
      </c>
      <c r="F446" s="57"/>
      <c r="G446" s="57"/>
      <c r="H446" s="57"/>
      <c r="I446" s="57"/>
      <c r="J446" s="57" t="s">
        <v>1372</v>
      </c>
      <c r="K446" s="59" t="s">
        <v>1372</v>
      </c>
      <c r="L446" s="59" t="s">
        <v>1521</v>
      </c>
      <c r="M446" s="59" t="s">
        <v>1372</v>
      </c>
      <c r="N446" s="59" t="s">
        <v>1372</v>
      </c>
      <c r="O446" s="59" t="s">
        <v>1372</v>
      </c>
      <c r="P446" s="57"/>
      <c r="Q446" s="57" t="s">
        <v>1372</v>
      </c>
      <c r="R446" s="57" t="s">
        <v>1372</v>
      </c>
      <c r="S446" s="48" t="s">
        <v>1492</v>
      </c>
      <c r="T446" s="15">
        <v>540</v>
      </c>
      <c r="U446" s="60">
        <v>44872</v>
      </c>
      <c r="V446" s="60">
        <v>45237</v>
      </c>
      <c r="W446" s="15">
        <v>540</v>
      </c>
      <c r="Y446" s="93"/>
      <c r="Z446" s="93"/>
      <c r="AA446" s="57"/>
      <c r="AB446" s="57"/>
      <c r="AC446" s="57"/>
      <c r="AD446" s="59"/>
    </row>
    <row r="447" spans="1:30" ht="90" x14ac:dyDescent="0.25">
      <c r="A447" s="56" t="s">
        <v>1493</v>
      </c>
      <c r="B447" s="57" t="s">
        <v>468</v>
      </c>
      <c r="C447" s="48" t="s">
        <v>1371</v>
      </c>
      <c r="D447" s="48" t="s">
        <v>1494</v>
      </c>
      <c r="E447" s="48" t="s">
        <v>108</v>
      </c>
      <c r="F447" s="57"/>
      <c r="G447" s="57"/>
      <c r="H447" s="57"/>
      <c r="I447" s="57"/>
      <c r="J447" s="57" t="s">
        <v>1372</v>
      </c>
      <c r="K447" s="59" t="s">
        <v>1372</v>
      </c>
      <c r="L447" s="59" t="s">
        <v>1372</v>
      </c>
      <c r="M447" s="59" t="s">
        <v>1372</v>
      </c>
      <c r="N447" s="59" t="s">
        <v>1372</v>
      </c>
      <c r="O447" s="59" t="s">
        <v>1372</v>
      </c>
      <c r="P447" s="57"/>
      <c r="Q447" s="57" t="s">
        <v>1372</v>
      </c>
      <c r="R447" s="57" t="s">
        <v>1372</v>
      </c>
      <c r="S447" s="48" t="s">
        <v>1275</v>
      </c>
      <c r="T447" s="15">
        <v>802</v>
      </c>
      <c r="U447" s="60">
        <v>44918</v>
      </c>
      <c r="V447" s="60">
        <v>44957</v>
      </c>
      <c r="W447" s="13">
        <f>978.44/122*100</f>
        <v>802</v>
      </c>
      <c r="Y447" s="93"/>
      <c r="Z447" s="93"/>
      <c r="AA447" s="57"/>
      <c r="AB447" s="57"/>
      <c r="AC447" s="57"/>
      <c r="AD447" s="59"/>
    </row>
    <row r="448" spans="1:30" ht="90" x14ac:dyDescent="0.25">
      <c r="A448" s="56" t="s">
        <v>817</v>
      </c>
      <c r="B448" s="57" t="s">
        <v>468</v>
      </c>
      <c r="C448" s="48" t="s">
        <v>1371</v>
      </c>
      <c r="D448" s="48" t="s">
        <v>1495</v>
      </c>
      <c r="E448" s="48" t="s">
        <v>54</v>
      </c>
      <c r="F448" s="57"/>
      <c r="G448" s="57"/>
      <c r="H448" s="57"/>
      <c r="I448" s="57"/>
      <c r="J448" s="57" t="s">
        <v>1372</v>
      </c>
      <c r="K448" s="59" t="s">
        <v>1372</v>
      </c>
      <c r="L448" s="59" t="s">
        <v>1372</v>
      </c>
      <c r="M448" s="59" t="s">
        <v>1372</v>
      </c>
      <c r="N448" s="59" t="s">
        <v>1372</v>
      </c>
      <c r="O448" s="59" t="s">
        <v>1372</v>
      </c>
      <c r="P448" s="57"/>
      <c r="Q448" s="57" t="s">
        <v>153</v>
      </c>
      <c r="R448" s="57" t="s">
        <v>1372</v>
      </c>
      <c r="S448" s="48" t="s">
        <v>154</v>
      </c>
      <c r="T448" s="15">
        <v>55250</v>
      </c>
      <c r="U448" s="60">
        <v>44979</v>
      </c>
      <c r="V448" s="60">
        <v>45343</v>
      </c>
      <c r="W448" s="13">
        <v>0</v>
      </c>
      <c r="Y448" s="93"/>
      <c r="Z448" s="93"/>
      <c r="AA448" s="57"/>
      <c r="AB448" s="57"/>
      <c r="AC448" s="57"/>
      <c r="AD448" s="59"/>
    </row>
    <row r="449" spans="1:30" ht="60" x14ac:dyDescent="0.25">
      <c r="A449" s="56" t="s">
        <v>1523</v>
      </c>
      <c r="B449" s="57" t="s">
        <v>468</v>
      </c>
      <c r="C449" s="48" t="s">
        <v>1371</v>
      </c>
      <c r="D449" s="48" t="s">
        <v>1524</v>
      </c>
      <c r="E449" s="48" t="s">
        <v>658</v>
      </c>
      <c r="F449" s="16"/>
      <c r="G449" s="57"/>
      <c r="H449" s="57"/>
      <c r="I449" s="57"/>
      <c r="J449" s="48" t="s">
        <v>1526</v>
      </c>
      <c r="K449" s="16"/>
      <c r="L449" s="48" t="s">
        <v>1525</v>
      </c>
      <c r="M449" s="48"/>
      <c r="N449" s="59" t="s">
        <v>1372</v>
      </c>
      <c r="O449" s="59" t="s">
        <v>1372</v>
      </c>
      <c r="P449" s="59" t="s">
        <v>1372</v>
      </c>
      <c r="Q449" s="57"/>
      <c r="R449" s="57"/>
      <c r="S449" s="57"/>
      <c r="T449" s="13">
        <v>0</v>
      </c>
      <c r="U449" s="60"/>
      <c r="V449" s="60"/>
      <c r="W449" s="13">
        <v>11500</v>
      </c>
      <c r="Y449" s="93"/>
      <c r="Z449" s="93"/>
      <c r="AA449" s="57"/>
      <c r="AB449" s="57"/>
      <c r="AC449" s="57"/>
      <c r="AD449" s="59"/>
    </row>
    <row r="450" spans="1:30" ht="75" x14ac:dyDescent="0.25">
      <c r="A450" s="56" t="s">
        <v>1527</v>
      </c>
      <c r="B450" s="57" t="s">
        <v>468</v>
      </c>
      <c r="C450" s="48" t="s">
        <v>1371</v>
      </c>
      <c r="D450" s="48" t="s">
        <v>1528</v>
      </c>
      <c r="E450" s="48" t="s">
        <v>658</v>
      </c>
      <c r="F450" s="16"/>
      <c r="G450" s="57"/>
      <c r="H450" s="57"/>
      <c r="I450" s="57"/>
      <c r="J450" s="57"/>
      <c r="K450" s="59" t="s">
        <v>1372</v>
      </c>
      <c r="L450" s="59" t="s">
        <v>1372</v>
      </c>
      <c r="M450" s="59" t="s">
        <v>1372</v>
      </c>
      <c r="N450" s="59" t="s">
        <v>1372</v>
      </c>
      <c r="O450" s="59" t="s">
        <v>1372</v>
      </c>
      <c r="P450" s="59" t="s">
        <v>1372</v>
      </c>
      <c r="Q450" s="57"/>
      <c r="R450" s="57"/>
      <c r="S450" s="57"/>
      <c r="T450" s="13">
        <v>0</v>
      </c>
      <c r="U450" s="60"/>
      <c r="V450" s="60"/>
      <c r="W450" s="13">
        <v>0</v>
      </c>
      <c r="Y450" s="94"/>
      <c r="Z450" s="93"/>
      <c r="AA450" s="93"/>
      <c r="AB450" s="57"/>
      <c r="AC450" s="57"/>
      <c r="AD450" s="57"/>
    </row>
    <row r="451" spans="1:30" ht="45" x14ac:dyDescent="0.25">
      <c r="A451" s="56" t="s">
        <v>1529</v>
      </c>
      <c r="B451" s="57" t="s">
        <v>468</v>
      </c>
      <c r="C451" s="48" t="s">
        <v>1371</v>
      </c>
      <c r="D451" s="48" t="s">
        <v>1530</v>
      </c>
      <c r="E451" s="48" t="s">
        <v>108</v>
      </c>
      <c r="F451" s="57"/>
      <c r="G451" s="57"/>
      <c r="H451" s="57"/>
      <c r="I451" s="57"/>
      <c r="J451" s="57" t="s">
        <v>1372</v>
      </c>
      <c r="K451" s="59" t="s">
        <v>1372</v>
      </c>
      <c r="L451" s="59" t="s">
        <v>1372</v>
      </c>
      <c r="M451" s="59" t="s">
        <v>1372</v>
      </c>
      <c r="N451" s="59" t="s">
        <v>1372</v>
      </c>
      <c r="O451" s="59" t="s">
        <v>1372</v>
      </c>
      <c r="P451" s="57"/>
      <c r="Q451" s="57" t="s">
        <v>1531</v>
      </c>
      <c r="R451" s="57" t="s">
        <v>1372</v>
      </c>
      <c r="S451" s="57" t="s">
        <v>1532</v>
      </c>
      <c r="T451" s="15">
        <v>5940</v>
      </c>
      <c r="U451" s="60">
        <v>44928</v>
      </c>
      <c r="V451" s="60">
        <v>44931</v>
      </c>
      <c r="W451" s="13">
        <v>5880</v>
      </c>
      <c r="Y451" s="93"/>
      <c r="Z451" s="93"/>
      <c r="AA451" s="57"/>
      <c r="AB451" s="57"/>
      <c r="AC451" s="57"/>
      <c r="AD451" s="59"/>
    </row>
    <row r="452" spans="1:30" ht="75" x14ac:dyDescent="0.25">
      <c r="A452" s="56" t="s">
        <v>1535</v>
      </c>
      <c r="B452" s="57" t="s">
        <v>468</v>
      </c>
      <c r="C452" s="48" t="s">
        <v>1371</v>
      </c>
      <c r="D452" s="48" t="s">
        <v>1536</v>
      </c>
      <c r="E452" s="48" t="s">
        <v>108</v>
      </c>
      <c r="G452" s="57"/>
      <c r="H452" s="57"/>
      <c r="I452" s="57"/>
      <c r="J452" s="57"/>
      <c r="K452" s="59" t="s">
        <v>1372</v>
      </c>
      <c r="L452" s="59" t="s">
        <v>1372</v>
      </c>
      <c r="M452" s="59" t="s">
        <v>1372</v>
      </c>
      <c r="N452" s="59" t="s">
        <v>1372</v>
      </c>
      <c r="O452" s="59" t="s">
        <v>1372</v>
      </c>
      <c r="P452" s="59" t="s">
        <v>1372</v>
      </c>
      <c r="Q452" s="57" t="s">
        <v>1537</v>
      </c>
      <c r="S452" s="57" t="s">
        <v>1538</v>
      </c>
      <c r="T452" s="15">
        <v>1500</v>
      </c>
      <c r="U452" s="60">
        <v>44909</v>
      </c>
      <c r="V452" s="60">
        <v>44911</v>
      </c>
      <c r="W452" s="13">
        <v>0</v>
      </c>
      <c r="Y452" s="94"/>
      <c r="Z452" s="93"/>
      <c r="AA452" s="93"/>
      <c r="AB452" s="57"/>
      <c r="AC452" s="57"/>
      <c r="AD452" s="59"/>
    </row>
    <row r="453" spans="1:30" ht="120" x14ac:dyDescent="0.25">
      <c r="A453" s="16" t="s">
        <v>1369</v>
      </c>
      <c r="B453" s="16">
        <v>80204250585</v>
      </c>
      <c r="C453" s="22" t="s">
        <v>48</v>
      </c>
      <c r="D453" s="37" t="s">
        <v>1539</v>
      </c>
      <c r="E453" s="16" t="s">
        <v>1294</v>
      </c>
      <c r="F453" s="16"/>
      <c r="G453" s="16"/>
      <c r="H453" s="16"/>
      <c r="I453" s="16"/>
      <c r="J453" s="35" t="s">
        <v>369</v>
      </c>
      <c r="K453" s="16"/>
      <c r="L453" s="16" t="s">
        <v>1134</v>
      </c>
      <c r="M453" s="16"/>
      <c r="P453" s="16"/>
      <c r="Q453" s="35" t="s">
        <v>369</v>
      </c>
      <c r="S453" s="16" t="s">
        <v>1134</v>
      </c>
      <c r="T453" s="13">
        <v>1716764</v>
      </c>
      <c r="U453" s="23">
        <v>44918</v>
      </c>
      <c r="W453" s="13">
        <v>258264</v>
      </c>
      <c r="AA453" s="24"/>
      <c r="AB453" s="16"/>
      <c r="AC453" s="16"/>
      <c r="AD453" s="16"/>
    </row>
    <row r="454" spans="1:30" ht="120" x14ac:dyDescent="0.25">
      <c r="A454" s="16" t="s">
        <v>1540</v>
      </c>
      <c r="B454" s="16">
        <v>80204250585</v>
      </c>
      <c r="C454" s="22" t="s">
        <v>48</v>
      </c>
      <c r="D454" s="37" t="s">
        <v>1541</v>
      </c>
      <c r="E454" s="22" t="s">
        <v>50</v>
      </c>
      <c r="F454" s="16"/>
      <c r="G454" s="16"/>
      <c r="H454" s="16"/>
      <c r="I454" s="16"/>
      <c r="J454" s="35" t="s">
        <v>502</v>
      </c>
      <c r="K454" s="16"/>
      <c r="L454" s="27" t="s">
        <v>503</v>
      </c>
      <c r="M454" s="16"/>
      <c r="P454" s="16"/>
      <c r="Q454" s="35" t="s">
        <v>502</v>
      </c>
      <c r="S454" s="16" t="s">
        <v>503</v>
      </c>
      <c r="T454" s="13">
        <v>54108</v>
      </c>
      <c r="U454" s="23">
        <v>45070</v>
      </c>
      <c r="V454" s="23">
        <v>46896</v>
      </c>
      <c r="W454" s="13">
        <v>1402.8</v>
      </c>
      <c r="AA454" s="24"/>
      <c r="AB454" s="16"/>
      <c r="AC454" s="16"/>
      <c r="AD454" s="16"/>
    </row>
    <row r="455" spans="1:30" ht="105" x14ac:dyDescent="0.25">
      <c r="A455" s="16" t="s">
        <v>1543</v>
      </c>
      <c r="B455" s="16">
        <v>80204250585</v>
      </c>
      <c r="C455" s="22" t="s">
        <v>48</v>
      </c>
      <c r="D455" s="27" t="s">
        <v>1544</v>
      </c>
      <c r="E455" s="27" t="s">
        <v>164</v>
      </c>
      <c r="F455" s="16"/>
      <c r="G455" s="16"/>
      <c r="H455" s="16"/>
      <c r="I455" s="16"/>
      <c r="J455" s="35" t="s">
        <v>1545</v>
      </c>
      <c r="K455" s="16"/>
      <c r="L455" s="16" t="s">
        <v>1546</v>
      </c>
      <c r="M455" s="16"/>
      <c r="P455" s="16"/>
      <c r="Q455" s="35" t="s">
        <v>1545</v>
      </c>
      <c r="S455" s="16" t="s">
        <v>1546</v>
      </c>
      <c r="T455" s="13">
        <v>5600</v>
      </c>
      <c r="U455" s="23">
        <v>44946</v>
      </c>
      <c r="V455" s="23">
        <v>45126</v>
      </c>
      <c r="W455" s="13">
        <v>0</v>
      </c>
      <c r="AA455" s="16"/>
      <c r="AB455" s="16"/>
      <c r="AC455" s="16"/>
      <c r="AD455" s="16"/>
    </row>
    <row r="456" spans="1:30" ht="195" x14ac:dyDescent="0.25">
      <c r="A456" s="16" t="s">
        <v>1547</v>
      </c>
      <c r="B456" s="16">
        <v>80204250585</v>
      </c>
      <c r="C456" s="22" t="s">
        <v>48</v>
      </c>
      <c r="D456" s="27" t="s">
        <v>1548</v>
      </c>
      <c r="E456" s="22" t="s">
        <v>108</v>
      </c>
      <c r="F456" s="16"/>
      <c r="G456" s="16"/>
      <c r="H456" s="16"/>
      <c r="I456" s="16"/>
      <c r="J456" s="55" t="s">
        <v>1542</v>
      </c>
      <c r="K456" s="16"/>
      <c r="L456" s="16" t="s">
        <v>1549</v>
      </c>
      <c r="M456" s="16"/>
      <c r="P456" s="16"/>
      <c r="Q456" s="55" t="s">
        <v>1542</v>
      </c>
      <c r="S456" s="16" t="s">
        <v>1549</v>
      </c>
      <c r="T456" s="13">
        <v>39600</v>
      </c>
      <c r="U456" s="23">
        <v>44927</v>
      </c>
      <c r="V456" s="23">
        <v>44985</v>
      </c>
      <c r="W456" s="13">
        <f>19800*2</f>
        <v>39600</v>
      </c>
      <c r="AA456" s="16"/>
      <c r="AB456" s="16"/>
      <c r="AC456" s="16"/>
      <c r="AD456" s="16"/>
    </row>
    <row r="457" spans="1:30" ht="105" x14ac:dyDescent="0.25">
      <c r="A457" s="16" t="s">
        <v>1550</v>
      </c>
      <c r="B457" s="16">
        <v>80204250585</v>
      </c>
      <c r="C457" s="22" t="s">
        <v>48</v>
      </c>
      <c r="D457" s="27" t="s">
        <v>1551</v>
      </c>
      <c r="E457" s="22" t="s">
        <v>108</v>
      </c>
      <c r="F457" s="16"/>
      <c r="G457" s="16"/>
      <c r="H457" s="16"/>
      <c r="I457" s="16"/>
      <c r="J457" s="35" t="s">
        <v>1128</v>
      </c>
      <c r="K457" s="16"/>
      <c r="L457" s="27" t="s">
        <v>1552</v>
      </c>
      <c r="M457" s="16"/>
      <c r="P457" s="16"/>
      <c r="Q457" s="35" t="s">
        <v>1128</v>
      </c>
      <c r="S457" s="16" t="s">
        <v>1552</v>
      </c>
      <c r="T457" s="13">
        <v>3000</v>
      </c>
      <c r="W457" s="13">
        <v>0</v>
      </c>
      <c r="AA457" s="16"/>
      <c r="AB457" s="16"/>
      <c r="AC457" s="16"/>
      <c r="AD457" s="16"/>
    </row>
    <row r="458" spans="1:30" ht="120" x14ac:dyDescent="0.25">
      <c r="A458" s="16" t="s">
        <v>1553</v>
      </c>
      <c r="B458" s="16">
        <v>80204250586</v>
      </c>
      <c r="C458" s="22" t="s">
        <v>48</v>
      </c>
      <c r="D458" s="27" t="s">
        <v>1554</v>
      </c>
      <c r="E458" s="22" t="s">
        <v>108</v>
      </c>
      <c r="F458" s="16"/>
      <c r="G458" s="16"/>
      <c r="H458" s="16"/>
      <c r="I458" s="16"/>
      <c r="J458" s="35" t="s">
        <v>1555</v>
      </c>
      <c r="K458" s="16"/>
      <c r="L458" s="27" t="s">
        <v>1556</v>
      </c>
      <c r="M458" s="16"/>
      <c r="P458" s="16"/>
      <c r="Q458" s="35" t="s">
        <v>1555</v>
      </c>
      <c r="S458" s="16" t="s">
        <v>1556</v>
      </c>
      <c r="T458" s="13">
        <v>19920</v>
      </c>
      <c r="U458" s="23">
        <v>44957</v>
      </c>
      <c r="V458" s="23">
        <v>45869</v>
      </c>
      <c r="W458" s="13">
        <f>2008.91+2008.91</f>
        <v>4017.82</v>
      </c>
      <c r="AA458" s="16"/>
      <c r="AB458" s="16"/>
      <c r="AC458" s="16"/>
      <c r="AD458" s="16"/>
    </row>
    <row r="459" spans="1:30" ht="225" x14ac:dyDescent="0.25">
      <c r="A459" s="16" t="s">
        <v>1557</v>
      </c>
      <c r="B459" s="16">
        <v>80204250586</v>
      </c>
      <c r="C459" s="22" t="s">
        <v>48</v>
      </c>
      <c r="D459" s="27" t="s">
        <v>1558</v>
      </c>
      <c r="E459" s="22" t="s">
        <v>50</v>
      </c>
      <c r="F459" s="64"/>
      <c r="G459" s="43"/>
      <c r="H459" s="39"/>
      <c r="I459" s="39"/>
      <c r="J459" s="38"/>
      <c r="K459" s="43"/>
      <c r="L459" s="51"/>
      <c r="M459" s="64" t="s">
        <v>868</v>
      </c>
      <c r="N459" s="43"/>
      <c r="O459" s="39" t="s">
        <v>869</v>
      </c>
      <c r="P459" s="39" t="s">
        <v>604</v>
      </c>
      <c r="Q459" s="35"/>
      <c r="S459" s="16"/>
      <c r="T459" s="13">
        <v>2195.1999999999998</v>
      </c>
      <c r="U459" s="23">
        <v>44896</v>
      </c>
      <c r="V459" s="23">
        <v>44925</v>
      </c>
      <c r="W459" s="13">
        <v>0</v>
      </c>
      <c r="AA459" s="16"/>
      <c r="AB459" s="16"/>
      <c r="AC459" s="16"/>
      <c r="AD459" s="16"/>
    </row>
    <row r="460" spans="1:30" ht="45" x14ac:dyDescent="0.25">
      <c r="A460" s="24" t="s">
        <v>685</v>
      </c>
      <c r="B460" s="16" t="s">
        <v>468</v>
      </c>
      <c r="C460" s="27" t="s">
        <v>1371</v>
      </c>
      <c r="D460" s="27" t="s">
        <v>1604</v>
      </c>
      <c r="E460" s="27" t="s">
        <v>108</v>
      </c>
      <c r="J460" s="22" t="s">
        <v>1372</v>
      </c>
      <c r="K460" s="27" t="s">
        <v>1372</v>
      </c>
      <c r="L460" s="27" t="s">
        <v>1372</v>
      </c>
      <c r="M460" s="27" t="s">
        <v>1372</v>
      </c>
      <c r="N460" s="16" t="s">
        <v>1372</v>
      </c>
      <c r="O460" s="16" t="s">
        <v>1372</v>
      </c>
      <c r="Q460" s="21" t="s">
        <v>686</v>
      </c>
      <c r="R460" s="16" t="s">
        <v>1372</v>
      </c>
      <c r="S460" s="27" t="s">
        <v>1605</v>
      </c>
      <c r="T460" s="13">
        <v>1340.16</v>
      </c>
      <c r="V460" s="23">
        <v>44926</v>
      </c>
    </row>
    <row r="461" spans="1:30" ht="60" x14ac:dyDescent="0.25">
      <c r="A461" s="24" t="s">
        <v>1606</v>
      </c>
      <c r="B461" s="16" t="s">
        <v>468</v>
      </c>
      <c r="C461" s="27" t="s">
        <v>1371</v>
      </c>
      <c r="D461" s="27" t="s">
        <v>1607</v>
      </c>
      <c r="J461" s="22" t="s">
        <v>1372</v>
      </c>
      <c r="K461" s="27" t="s">
        <v>1372</v>
      </c>
      <c r="L461" s="27" t="s">
        <v>1372</v>
      </c>
      <c r="M461" s="27" t="s">
        <v>1372</v>
      </c>
      <c r="N461" s="16" t="s">
        <v>1372</v>
      </c>
      <c r="O461" s="16" t="s">
        <v>1372</v>
      </c>
      <c r="Q461" s="21" t="s">
        <v>1372</v>
      </c>
      <c r="R461" s="16" t="s">
        <v>1372</v>
      </c>
      <c r="S461" s="27" t="s">
        <v>557</v>
      </c>
      <c r="T461" s="13">
        <v>62500.02</v>
      </c>
      <c r="U461" s="23">
        <v>42628</v>
      </c>
      <c r="V461" s="23">
        <v>43100</v>
      </c>
    </row>
    <row r="462" spans="1:30" ht="75" x14ac:dyDescent="0.25">
      <c r="A462" s="24" t="s">
        <v>1290</v>
      </c>
      <c r="B462" s="16" t="s">
        <v>468</v>
      </c>
      <c r="C462" s="27" t="s">
        <v>1371</v>
      </c>
      <c r="D462" s="27" t="s">
        <v>1608</v>
      </c>
      <c r="E462" s="27" t="s">
        <v>658</v>
      </c>
      <c r="J462" s="22" t="s">
        <v>1372</v>
      </c>
      <c r="K462" s="27" t="s">
        <v>1372</v>
      </c>
      <c r="L462" s="27" t="s">
        <v>1372</v>
      </c>
      <c r="M462" s="27" t="s">
        <v>1372</v>
      </c>
      <c r="N462" s="16" t="s">
        <v>1372</v>
      </c>
      <c r="O462" s="16" t="s">
        <v>1372</v>
      </c>
    </row>
    <row r="463" spans="1:30" ht="75" x14ac:dyDescent="0.25">
      <c r="A463" s="24" t="s">
        <v>1609</v>
      </c>
      <c r="B463" s="16" t="s">
        <v>468</v>
      </c>
      <c r="C463" s="27" t="s">
        <v>1371</v>
      </c>
      <c r="D463" s="27" t="s">
        <v>1703</v>
      </c>
      <c r="E463" s="27" t="s">
        <v>54</v>
      </c>
      <c r="J463" s="22" t="s">
        <v>1372</v>
      </c>
      <c r="K463" s="27" t="s">
        <v>1372</v>
      </c>
      <c r="L463" s="27" t="s">
        <v>1372</v>
      </c>
      <c r="M463" s="27" t="s">
        <v>1372</v>
      </c>
      <c r="N463" s="16" t="s">
        <v>1372</v>
      </c>
      <c r="O463" s="16" t="s">
        <v>1372</v>
      </c>
    </row>
    <row r="464" spans="1:30" ht="45" x14ac:dyDescent="0.25">
      <c r="A464" s="24" t="s">
        <v>1467</v>
      </c>
      <c r="B464" s="16" t="s">
        <v>468</v>
      </c>
      <c r="C464" s="27" t="s">
        <v>1371</v>
      </c>
      <c r="D464" s="27" t="s">
        <v>1476</v>
      </c>
      <c r="E464" s="27" t="s">
        <v>108</v>
      </c>
      <c r="J464" s="22" t="s">
        <v>1477</v>
      </c>
      <c r="K464" s="27" t="s">
        <v>1372</v>
      </c>
      <c r="L464" s="27" t="s">
        <v>1478</v>
      </c>
      <c r="M464" s="27" t="s">
        <v>1372</v>
      </c>
      <c r="N464" s="16" t="s">
        <v>1372</v>
      </c>
      <c r="O464" s="16" t="s">
        <v>1372</v>
      </c>
      <c r="Q464" s="21" t="s">
        <v>1477</v>
      </c>
      <c r="R464" s="16" t="s">
        <v>1372</v>
      </c>
      <c r="S464" s="27" t="s">
        <v>1478</v>
      </c>
      <c r="T464" s="13">
        <v>24929.39</v>
      </c>
      <c r="U464" s="23">
        <v>44958</v>
      </c>
      <c r="V464" s="23">
        <v>45688</v>
      </c>
      <c r="W464" s="13">
        <v>0</v>
      </c>
    </row>
    <row r="465" spans="1:23" ht="105" x14ac:dyDescent="0.25">
      <c r="A465" s="24" t="s">
        <v>1610</v>
      </c>
      <c r="B465" s="16" t="s">
        <v>468</v>
      </c>
      <c r="C465" s="27" t="s">
        <v>1371</v>
      </c>
      <c r="D465" s="27" t="s">
        <v>1611</v>
      </c>
      <c r="E465" s="27" t="s">
        <v>108</v>
      </c>
      <c r="J465" s="22" t="s">
        <v>1372</v>
      </c>
      <c r="K465" s="27" t="s">
        <v>1372</v>
      </c>
      <c r="L465" s="27" t="s">
        <v>1071</v>
      </c>
      <c r="M465" s="27" t="s">
        <v>1372</v>
      </c>
      <c r="N465" s="16" t="s">
        <v>1372</v>
      </c>
      <c r="O465" s="16" t="s">
        <v>1372</v>
      </c>
      <c r="Q465" s="21" t="s">
        <v>1372</v>
      </c>
      <c r="R465" s="16" t="s">
        <v>1372</v>
      </c>
      <c r="S465" s="27" t="s">
        <v>1071</v>
      </c>
      <c r="T465" s="13">
        <v>160</v>
      </c>
      <c r="U465" s="23">
        <v>44959</v>
      </c>
      <c r="V465" s="23">
        <v>44966</v>
      </c>
      <c r="W465" s="13">
        <v>160</v>
      </c>
    </row>
    <row r="466" spans="1:23" ht="90" x14ac:dyDescent="0.25">
      <c r="A466" s="24" t="s">
        <v>1612</v>
      </c>
      <c r="B466" s="16" t="s">
        <v>468</v>
      </c>
      <c r="C466" s="27" t="s">
        <v>1371</v>
      </c>
      <c r="D466" s="27" t="s">
        <v>1613</v>
      </c>
      <c r="E466" s="27" t="s">
        <v>108</v>
      </c>
      <c r="J466" s="22" t="s">
        <v>1372</v>
      </c>
      <c r="K466" s="27" t="s">
        <v>1372</v>
      </c>
      <c r="L466" s="27" t="s">
        <v>1372</v>
      </c>
      <c r="M466" s="27" t="s">
        <v>1372</v>
      </c>
      <c r="N466" s="16" t="s">
        <v>1372</v>
      </c>
      <c r="O466" s="16" t="s">
        <v>1372</v>
      </c>
      <c r="T466" s="13">
        <v>600</v>
      </c>
      <c r="U466" s="23">
        <v>44959</v>
      </c>
      <c r="V466" s="23">
        <v>44966</v>
      </c>
      <c r="W466" s="13">
        <v>600</v>
      </c>
    </row>
    <row r="467" spans="1:23" ht="105" x14ac:dyDescent="0.25">
      <c r="A467" s="24" t="s">
        <v>1614</v>
      </c>
      <c r="B467" s="16" t="s">
        <v>468</v>
      </c>
      <c r="C467" s="27" t="s">
        <v>1371</v>
      </c>
      <c r="D467" s="27" t="s">
        <v>1615</v>
      </c>
      <c r="E467" s="27" t="s">
        <v>108</v>
      </c>
      <c r="J467" s="22" t="s">
        <v>1372</v>
      </c>
      <c r="K467" s="27" t="s">
        <v>1372</v>
      </c>
      <c r="L467" s="27" t="s">
        <v>1690</v>
      </c>
      <c r="M467" s="27" t="s">
        <v>1372</v>
      </c>
      <c r="N467" s="16" t="s">
        <v>1372</v>
      </c>
      <c r="O467" s="16" t="s">
        <v>1372</v>
      </c>
      <c r="T467" s="13">
        <v>530</v>
      </c>
      <c r="U467" s="23">
        <v>44959</v>
      </c>
      <c r="V467" s="23">
        <v>44963</v>
      </c>
      <c r="W467" s="13">
        <v>530</v>
      </c>
    </row>
    <row r="468" spans="1:23" ht="75" x14ac:dyDescent="0.25">
      <c r="A468" s="24" t="s">
        <v>1616</v>
      </c>
      <c r="B468" s="16" t="s">
        <v>468</v>
      </c>
      <c r="C468" s="27" t="s">
        <v>1371</v>
      </c>
      <c r="D468" s="27" t="s">
        <v>1617</v>
      </c>
      <c r="E468" s="27" t="s">
        <v>108</v>
      </c>
      <c r="J468" s="22" t="s">
        <v>1372</v>
      </c>
      <c r="K468" s="27" t="s">
        <v>1372</v>
      </c>
      <c r="L468" s="27" t="s">
        <v>1372</v>
      </c>
      <c r="M468" s="27" t="s">
        <v>1372</v>
      </c>
      <c r="N468" s="16" t="s">
        <v>1372</v>
      </c>
      <c r="O468" s="16" t="s">
        <v>1372</v>
      </c>
      <c r="T468" s="13">
        <v>1230.43</v>
      </c>
      <c r="U468" s="23">
        <v>44952</v>
      </c>
      <c r="V468" s="23">
        <v>44957</v>
      </c>
      <c r="W468" s="13">
        <v>1243.54</v>
      </c>
    </row>
    <row r="469" spans="1:23" ht="75" x14ac:dyDescent="0.25">
      <c r="A469" s="24" t="s">
        <v>1693</v>
      </c>
      <c r="B469" s="16" t="s">
        <v>468</v>
      </c>
      <c r="C469" s="27" t="s">
        <v>1371</v>
      </c>
      <c r="D469" s="27" t="s">
        <v>1618</v>
      </c>
      <c r="E469" s="27" t="s">
        <v>108</v>
      </c>
      <c r="J469" s="22" t="s">
        <v>1372</v>
      </c>
      <c r="K469" s="27" t="s">
        <v>1372</v>
      </c>
      <c r="L469" s="27" t="s">
        <v>678</v>
      </c>
      <c r="M469" s="27" t="s">
        <v>1372</v>
      </c>
      <c r="N469" s="16" t="s">
        <v>1372</v>
      </c>
      <c r="O469" s="16" t="s">
        <v>1372</v>
      </c>
      <c r="Q469" s="21" t="s">
        <v>1694</v>
      </c>
      <c r="R469" s="16" t="s">
        <v>1372</v>
      </c>
      <c r="S469" s="27" t="s">
        <v>678</v>
      </c>
      <c r="T469" s="13">
        <v>5400</v>
      </c>
      <c r="U469" s="23">
        <v>44951</v>
      </c>
      <c r="V469" s="23">
        <v>44980</v>
      </c>
      <c r="W469" s="13">
        <v>5400</v>
      </c>
    </row>
    <row r="470" spans="1:23" ht="165" x14ac:dyDescent="0.25">
      <c r="A470" s="24" t="s">
        <v>1619</v>
      </c>
      <c r="B470" s="16" t="s">
        <v>468</v>
      </c>
      <c r="C470" s="27" t="s">
        <v>1371</v>
      </c>
      <c r="D470" s="27" t="s">
        <v>1620</v>
      </c>
      <c r="E470" s="27" t="s">
        <v>108</v>
      </c>
      <c r="J470" s="22" t="s">
        <v>1372</v>
      </c>
      <c r="K470" s="27" t="s">
        <v>1372</v>
      </c>
      <c r="L470" s="27" t="s">
        <v>1372</v>
      </c>
      <c r="M470" s="27" t="s">
        <v>1372</v>
      </c>
      <c r="N470" s="16" t="s">
        <v>1372</v>
      </c>
      <c r="O470" s="16" t="s">
        <v>1372</v>
      </c>
      <c r="T470" s="13">
        <v>14950</v>
      </c>
      <c r="U470" s="23">
        <v>44987</v>
      </c>
      <c r="V470" s="23">
        <v>45142</v>
      </c>
    </row>
    <row r="471" spans="1:23" ht="90" x14ac:dyDescent="0.25">
      <c r="A471" s="24" t="s">
        <v>1601</v>
      </c>
      <c r="B471" s="16" t="s">
        <v>468</v>
      </c>
      <c r="C471" s="27" t="s">
        <v>1371</v>
      </c>
      <c r="D471" s="27" t="s">
        <v>1621</v>
      </c>
      <c r="J471" s="22" t="s">
        <v>1372</v>
      </c>
      <c r="K471" s="27" t="s">
        <v>1372</v>
      </c>
      <c r="L471" s="27" t="s">
        <v>1372</v>
      </c>
      <c r="M471" s="27" t="s">
        <v>1372</v>
      </c>
      <c r="N471" s="16" t="s">
        <v>1372</v>
      </c>
      <c r="O471" s="16" t="s">
        <v>1372</v>
      </c>
      <c r="Q471" s="21" t="s">
        <v>1372</v>
      </c>
      <c r="R471" s="16" t="s">
        <v>1372</v>
      </c>
      <c r="S471" s="27" t="s">
        <v>1622</v>
      </c>
      <c r="T471" s="13">
        <v>0</v>
      </c>
      <c r="U471" s="23">
        <v>44993</v>
      </c>
      <c r="V471" s="23">
        <v>46088</v>
      </c>
    </row>
    <row r="472" spans="1:23" ht="90" x14ac:dyDescent="0.25">
      <c r="A472" s="24" t="s">
        <v>1623</v>
      </c>
      <c r="B472" s="16" t="s">
        <v>468</v>
      </c>
      <c r="C472" s="27" t="s">
        <v>1371</v>
      </c>
      <c r="D472" s="27" t="s">
        <v>1624</v>
      </c>
      <c r="E472" s="27" t="s">
        <v>50</v>
      </c>
      <c r="J472" s="22" t="s">
        <v>1372</v>
      </c>
      <c r="K472" s="27" t="s">
        <v>1372</v>
      </c>
      <c r="L472" s="27" t="s">
        <v>1372</v>
      </c>
      <c r="M472" s="27" t="s">
        <v>1372</v>
      </c>
      <c r="N472" s="16" t="s">
        <v>1372</v>
      </c>
      <c r="O472" s="16" t="s">
        <v>1372</v>
      </c>
      <c r="Q472" s="21" t="s">
        <v>123</v>
      </c>
      <c r="R472" s="16" t="s">
        <v>1372</v>
      </c>
      <c r="S472" s="27" t="s">
        <v>124</v>
      </c>
      <c r="T472" s="13">
        <v>518400</v>
      </c>
      <c r="U472" s="23">
        <v>45017</v>
      </c>
      <c r="V472" s="23">
        <v>45838</v>
      </c>
      <c r="W472" s="13">
        <v>19200</v>
      </c>
    </row>
    <row r="473" spans="1:23" ht="120" x14ac:dyDescent="0.25">
      <c r="A473" s="24">
        <v>9617401260</v>
      </c>
      <c r="B473" s="16" t="s">
        <v>468</v>
      </c>
      <c r="C473" s="27" t="s">
        <v>1371</v>
      </c>
      <c r="D473" s="27" t="s">
        <v>1625</v>
      </c>
      <c r="E473" s="27" t="s">
        <v>658</v>
      </c>
      <c r="J473" s="22" t="s">
        <v>1477</v>
      </c>
      <c r="K473" s="27" t="s">
        <v>1372</v>
      </c>
      <c r="L473" s="27" t="s">
        <v>1478</v>
      </c>
      <c r="M473" s="27" t="s">
        <v>1372</v>
      </c>
      <c r="N473" s="16" t="s">
        <v>1372</v>
      </c>
      <c r="O473" s="16" t="s">
        <v>1372</v>
      </c>
      <c r="T473" s="13">
        <v>155234.22</v>
      </c>
      <c r="U473" s="23">
        <v>44998</v>
      </c>
      <c r="V473" s="23">
        <v>45728</v>
      </c>
      <c r="W473" s="13">
        <f>21079.33+15084.67</f>
        <v>36164</v>
      </c>
    </row>
    <row r="474" spans="1:23" ht="60" x14ac:dyDescent="0.25">
      <c r="A474" s="24" t="s">
        <v>1626</v>
      </c>
      <c r="B474" s="16" t="s">
        <v>468</v>
      </c>
      <c r="C474" s="27" t="s">
        <v>1371</v>
      </c>
      <c r="D474" s="27" t="s">
        <v>1627</v>
      </c>
      <c r="E474" s="27" t="s">
        <v>108</v>
      </c>
      <c r="J474" s="22" t="s">
        <v>1628</v>
      </c>
      <c r="K474" s="27" t="s">
        <v>1372</v>
      </c>
      <c r="L474" s="27" t="s">
        <v>825</v>
      </c>
      <c r="M474" s="27" t="s">
        <v>1372</v>
      </c>
      <c r="N474" s="16" t="s">
        <v>1372</v>
      </c>
      <c r="O474" s="16" t="s">
        <v>1372</v>
      </c>
      <c r="Q474" s="21" t="s">
        <v>1628</v>
      </c>
      <c r="R474" s="16" t="s">
        <v>1372</v>
      </c>
      <c r="S474" s="27" t="s">
        <v>825</v>
      </c>
      <c r="T474" s="13">
        <v>36000</v>
      </c>
      <c r="W474" s="13">
        <v>15000</v>
      </c>
    </row>
    <row r="475" spans="1:23" ht="105" x14ac:dyDescent="0.25">
      <c r="A475" s="24" t="s">
        <v>1629</v>
      </c>
      <c r="B475" s="16" t="s">
        <v>468</v>
      </c>
      <c r="C475" s="27" t="s">
        <v>1371</v>
      </c>
      <c r="D475" s="27" t="s">
        <v>1464</v>
      </c>
      <c r="E475" s="27" t="s">
        <v>108</v>
      </c>
      <c r="J475" s="22" t="s">
        <v>1372</v>
      </c>
      <c r="K475" s="27" t="s">
        <v>1372</v>
      </c>
      <c r="L475" s="27" t="s">
        <v>1372</v>
      </c>
      <c r="M475" s="27" t="s">
        <v>1372</v>
      </c>
      <c r="N475" s="16" t="s">
        <v>1372</v>
      </c>
      <c r="O475" s="16" t="s">
        <v>1372</v>
      </c>
      <c r="Q475" s="21" t="s">
        <v>1465</v>
      </c>
      <c r="R475" s="16" t="s">
        <v>1372</v>
      </c>
      <c r="S475" s="27" t="s">
        <v>926</v>
      </c>
      <c r="T475" s="13">
        <v>14142.06</v>
      </c>
      <c r="U475" s="23">
        <v>45017</v>
      </c>
      <c r="V475" s="23">
        <v>45077</v>
      </c>
    </row>
    <row r="476" spans="1:23" ht="60" x14ac:dyDescent="0.25">
      <c r="A476" s="24" t="s">
        <v>1630</v>
      </c>
      <c r="B476" s="16" t="s">
        <v>468</v>
      </c>
      <c r="C476" s="27" t="s">
        <v>1371</v>
      </c>
      <c r="D476" s="27" t="s">
        <v>1631</v>
      </c>
      <c r="E476" s="27" t="s">
        <v>54</v>
      </c>
      <c r="J476" s="22" t="s">
        <v>492</v>
      </c>
      <c r="K476" s="27" t="s">
        <v>1372</v>
      </c>
      <c r="L476" s="27" t="s">
        <v>1632</v>
      </c>
      <c r="M476" s="27" t="s">
        <v>1372</v>
      </c>
      <c r="N476" s="16" t="s">
        <v>1372</v>
      </c>
      <c r="O476" s="16" t="s">
        <v>1372</v>
      </c>
      <c r="Q476" s="21" t="s">
        <v>492</v>
      </c>
      <c r="R476" s="16" t="s">
        <v>1372</v>
      </c>
      <c r="S476" s="27" t="s">
        <v>1632</v>
      </c>
      <c r="T476" s="13">
        <v>193260</v>
      </c>
      <c r="U476" s="23">
        <v>45047</v>
      </c>
      <c r="V476" s="23">
        <v>45412</v>
      </c>
      <c r="W476" s="13">
        <v>31674</v>
      </c>
    </row>
    <row r="477" spans="1:23" ht="90" x14ac:dyDescent="0.25">
      <c r="A477" s="24" t="s">
        <v>1633</v>
      </c>
      <c r="B477" s="16" t="s">
        <v>468</v>
      </c>
      <c r="C477" s="27" t="s">
        <v>1371</v>
      </c>
      <c r="D477" s="27" t="s">
        <v>1634</v>
      </c>
      <c r="E477" s="27" t="s">
        <v>108</v>
      </c>
      <c r="J477" s="22" t="s">
        <v>1372</v>
      </c>
      <c r="K477" s="27" t="s">
        <v>1372</v>
      </c>
      <c r="L477" s="27" t="s">
        <v>678</v>
      </c>
      <c r="M477" s="27" t="s">
        <v>1372</v>
      </c>
      <c r="N477" s="16" t="s">
        <v>1372</v>
      </c>
      <c r="O477" s="16" t="s">
        <v>1372</v>
      </c>
      <c r="Q477" s="32" t="s">
        <v>1533</v>
      </c>
      <c r="R477" s="16" t="s">
        <v>1372</v>
      </c>
      <c r="S477" s="27" t="s">
        <v>678</v>
      </c>
      <c r="T477" s="13">
        <v>3900</v>
      </c>
      <c r="U477" s="23">
        <v>44985</v>
      </c>
      <c r="V477" s="23">
        <v>44995</v>
      </c>
    </row>
    <row r="478" spans="1:23" ht="45" x14ac:dyDescent="0.25">
      <c r="A478" s="24" t="s">
        <v>1635</v>
      </c>
      <c r="B478" s="16" t="s">
        <v>468</v>
      </c>
      <c r="C478" s="27" t="s">
        <v>1371</v>
      </c>
      <c r="D478" s="27" t="s">
        <v>525</v>
      </c>
      <c r="E478" s="27" t="s">
        <v>108</v>
      </c>
      <c r="J478" s="22" t="s">
        <v>1372</v>
      </c>
      <c r="K478" s="27" t="s">
        <v>1372</v>
      </c>
      <c r="L478" s="27" t="s">
        <v>1372</v>
      </c>
      <c r="M478" s="27" t="s">
        <v>1372</v>
      </c>
      <c r="N478" s="16" t="s">
        <v>1372</v>
      </c>
      <c r="O478" s="16" t="s">
        <v>1372</v>
      </c>
      <c r="Q478" s="21" t="s">
        <v>1636</v>
      </c>
      <c r="R478" s="16" t="s">
        <v>1372</v>
      </c>
      <c r="S478" s="27" t="s">
        <v>1637</v>
      </c>
      <c r="T478" s="13">
        <v>536.52</v>
      </c>
      <c r="U478" s="23">
        <v>44957</v>
      </c>
      <c r="V478" s="23">
        <v>44964</v>
      </c>
    </row>
    <row r="479" spans="1:23" ht="45" x14ac:dyDescent="0.25">
      <c r="A479" s="24" t="s">
        <v>1638</v>
      </c>
      <c r="B479" s="16" t="s">
        <v>468</v>
      </c>
      <c r="C479" s="27" t="s">
        <v>1371</v>
      </c>
      <c r="D479" s="27" t="s">
        <v>1639</v>
      </c>
      <c r="E479" s="27" t="s">
        <v>108</v>
      </c>
      <c r="J479" s="22" t="s">
        <v>1372</v>
      </c>
      <c r="K479" s="27" t="s">
        <v>1372</v>
      </c>
      <c r="L479" s="27" t="s">
        <v>678</v>
      </c>
      <c r="M479" s="27" t="s">
        <v>1372</v>
      </c>
      <c r="N479" s="16" t="s">
        <v>1372</v>
      </c>
      <c r="O479" s="16" t="s">
        <v>1372</v>
      </c>
      <c r="Q479" s="21" t="s">
        <v>1694</v>
      </c>
      <c r="R479" s="16" t="s">
        <v>1372</v>
      </c>
      <c r="S479" s="27" t="s">
        <v>678</v>
      </c>
      <c r="T479" s="13">
        <v>650</v>
      </c>
      <c r="U479" s="23">
        <v>44988</v>
      </c>
      <c r="V479" s="23">
        <v>44995</v>
      </c>
    </row>
    <row r="480" spans="1:23" ht="120" x14ac:dyDescent="0.25">
      <c r="A480" s="24" t="s">
        <v>1640</v>
      </c>
      <c r="B480" s="16" t="s">
        <v>468</v>
      </c>
      <c r="C480" s="27" t="s">
        <v>1371</v>
      </c>
      <c r="D480" s="27" t="s">
        <v>1641</v>
      </c>
      <c r="E480" s="27" t="s">
        <v>108</v>
      </c>
      <c r="J480" s="22" t="s">
        <v>1372</v>
      </c>
      <c r="K480" s="27" t="s">
        <v>1372</v>
      </c>
      <c r="L480" s="27" t="s">
        <v>678</v>
      </c>
      <c r="M480" s="27" t="s">
        <v>1372</v>
      </c>
      <c r="N480" s="16" t="s">
        <v>1372</v>
      </c>
      <c r="O480" s="16" t="s">
        <v>1372</v>
      </c>
      <c r="Q480" s="21" t="s">
        <v>1694</v>
      </c>
      <c r="R480" s="16" t="s">
        <v>1372</v>
      </c>
      <c r="S480" s="27" t="s">
        <v>678</v>
      </c>
      <c r="T480" s="13">
        <v>6800</v>
      </c>
      <c r="U480" s="23">
        <v>45012</v>
      </c>
      <c r="V480" s="23">
        <v>45015</v>
      </c>
    </row>
    <row r="481" spans="1:30" ht="45" x14ac:dyDescent="0.25">
      <c r="A481" s="24" t="s">
        <v>1642</v>
      </c>
      <c r="B481" s="16" t="s">
        <v>468</v>
      </c>
      <c r="C481" s="27" t="s">
        <v>1371</v>
      </c>
      <c r="D481" s="27" t="s">
        <v>1643</v>
      </c>
      <c r="E481" s="27" t="s">
        <v>108</v>
      </c>
      <c r="J481" s="22" t="s">
        <v>1644</v>
      </c>
      <c r="K481" s="27" t="s">
        <v>1372</v>
      </c>
      <c r="L481" s="27" t="s">
        <v>1645</v>
      </c>
      <c r="M481" s="27" t="s">
        <v>1372</v>
      </c>
      <c r="N481" s="16" t="s">
        <v>1372</v>
      </c>
      <c r="O481" s="16" t="s">
        <v>1372</v>
      </c>
      <c r="Q481" s="21" t="s">
        <v>1644</v>
      </c>
      <c r="R481" s="16" t="s">
        <v>1372</v>
      </c>
      <c r="S481" s="27" t="s">
        <v>1645</v>
      </c>
      <c r="T481" s="13">
        <v>1710</v>
      </c>
      <c r="U481" s="23">
        <v>45005</v>
      </c>
      <c r="V481" s="23">
        <v>45015</v>
      </c>
      <c r="W481" s="13">
        <v>1710</v>
      </c>
    </row>
    <row r="482" spans="1:30" ht="45" x14ac:dyDescent="0.25">
      <c r="A482" s="24" t="s">
        <v>1646</v>
      </c>
      <c r="B482" s="16" t="s">
        <v>468</v>
      </c>
      <c r="C482" s="27" t="s">
        <v>1371</v>
      </c>
      <c r="D482" s="27" t="s">
        <v>1647</v>
      </c>
      <c r="E482" s="27" t="s">
        <v>108</v>
      </c>
      <c r="J482" s="22" t="s">
        <v>1372</v>
      </c>
      <c r="K482" s="27" t="s">
        <v>1372</v>
      </c>
      <c r="L482" s="27" t="s">
        <v>1372</v>
      </c>
      <c r="M482" s="27" t="s">
        <v>1372</v>
      </c>
      <c r="N482" s="16" t="s">
        <v>1372</v>
      </c>
      <c r="O482" s="16" t="s">
        <v>1372</v>
      </c>
      <c r="Q482" s="21" t="s">
        <v>631</v>
      </c>
      <c r="R482" s="16" t="s">
        <v>1372</v>
      </c>
      <c r="S482" s="27" t="s">
        <v>1603</v>
      </c>
      <c r="T482" s="13">
        <v>1602.45</v>
      </c>
      <c r="U482" s="23">
        <v>44927</v>
      </c>
      <c r="V482" s="23">
        <v>46752</v>
      </c>
      <c r="W482" s="13">
        <f>254.96+4.5</f>
        <v>259.46000000000004</v>
      </c>
    </row>
    <row r="483" spans="1:30" ht="75" x14ac:dyDescent="0.25">
      <c r="A483" s="24" t="s">
        <v>1077</v>
      </c>
      <c r="B483" s="16" t="s">
        <v>468</v>
      </c>
      <c r="C483" s="27" t="s">
        <v>1371</v>
      </c>
      <c r="D483" s="27" t="s">
        <v>1648</v>
      </c>
      <c r="E483" s="27" t="s">
        <v>54</v>
      </c>
      <c r="J483" s="22" t="s">
        <v>1372</v>
      </c>
      <c r="K483" s="27" t="s">
        <v>1372</v>
      </c>
      <c r="L483" s="27" t="s">
        <v>1372</v>
      </c>
      <c r="M483" s="27" t="s">
        <v>1372</v>
      </c>
      <c r="N483" s="16" t="s">
        <v>1372</v>
      </c>
      <c r="O483" s="16" t="s">
        <v>1372</v>
      </c>
      <c r="Q483" s="21" t="s">
        <v>1372</v>
      </c>
      <c r="R483" s="16" t="s">
        <v>1372</v>
      </c>
      <c r="S483" s="27" t="s">
        <v>530</v>
      </c>
      <c r="T483" s="13">
        <v>5762.5</v>
      </c>
      <c r="U483" s="23">
        <v>45003</v>
      </c>
      <c r="V483" s="23">
        <v>45077</v>
      </c>
    </row>
    <row r="484" spans="1:30" ht="45" x14ac:dyDescent="0.25">
      <c r="A484" s="24" t="s">
        <v>1649</v>
      </c>
      <c r="B484" s="16" t="s">
        <v>468</v>
      </c>
      <c r="C484" s="27" t="s">
        <v>1371</v>
      </c>
      <c r="D484" s="27" t="s">
        <v>1650</v>
      </c>
      <c r="E484" s="27" t="s">
        <v>108</v>
      </c>
      <c r="J484" s="22" t="s">
        <v>1372</v>
      </c>
      <c r="K484" s="27" t="s">
        <v>1372</v>
      </c>
      <c r="L484" s="27" t="s">
        <v>1372</v>
      </c>
      <c r="M484" s="27" t="s">
        <v>1372</v>
      </c>
      <c r="N484" s="16" t="s">
        <v>1372</v>
      </c>
      <c r="O484" s="16" t="s">
        <v>1372</v>
      </c>
      <c r="Q484" s="21" t="s">
        <v>1651</v>
      </c>
      <c r="R484" s="16" t="s">
        <v>1372</v>
      </c>
      <c r="S484" s="27" t="s">
        <v>1652</v>
      </c>
      <c r="T484" s="13">
        <v>4400</v>
      </c>
      <c r="U484" s="23">
        <v>45046</v>
      </c>
      <c r="V484" s="23">
        <v>45776</v>
      </c>
    </row>
    <row r="485" spans="1:30" ht="90" x14ac:dyDescent="0.25">
      <c r="A485" s="24" t="s">
        <v>1653</v>
      </c>
      <c r="B485" s="16" t="s">
        <v>468</v>
      </c>
      <c r="C485" s="27" t="s">
        <v>1371</v>
      </c>
      <c r="D485" s="27" t="s">
        <v>1654</v>
      </c>
      <c r="E485" s="27" t="s">
        <v>50</v>
      </c>
      <c r="J485" s="22" t="s">
        <v>1372</v>
      </c>
      <c r="K485" s="27" t="s">
        <v>1372</v>
      </c>
      <c r="L485" s="27" t="s">
        <v>1372</v>
      </c>
      <c r="M485" s="27" t="s">
        <v>1372</v>
      </c>
      <c r="N485" s="16" t="s">
        <v>1372</v>
      </c>
      <c r="O485" s="16" t="s">
        <v>1372</v>
      </c>
      <c r="Q485" s="21" t="s">
        <v>123</v>
      </c>
      <c r="R485" s="16" t="s">
        <v>1372</v>
      </c>
      <c r="S485" s="27" t="s">
        <v>124</v>
      </c>
      <c r="T485" s="13">
        <v>518400</v>
      </c>
      <c r="U485" s="23">
        <v>45017</v>
      </c>
      <c r="V485" s="23">
        <v>45838</v>
      </c>
      <c r="W485" s="13">
        <f>38400+38400</f>
        <v>76800</v>
      </c>
    </row>
    <row r="486" spans="1:30" ht="90" x14ac:dyDescent="0.25">
      <c r="A486" s="24" t="s">
        <v>1655</v>
      </c>
      <c r="B486" s="16" t="s">
        <v>468</v>
      </c>
      <c r="C486" s="27" t="s">
        <v>1371</v>
      </c>
      <c r="D486" s="27" t="s">
        <v>1656</v>
      </c>
      <c r="E486" s="27" t="s">
        <v>50</v>
      </c>
      <c r="J486" s="22" t="s">
        <v>1372</v>
      </c>
      <c r="K486" s="27" t="s">
        <v>1372</v>
      </c>
      <c r="L486" s="27" t="s">
        <v>1372</v>
      </c>
      <c r="M486" s="27" t="s">
        <v>1372</v>
      </c>
      <c r="N486" s="16" t="s">
        <v>1372</v>
      </c>
      <c r="O486" s="16" t="s">
        <v>1372</v>
      </c>
      <c r="Q486" s="21" t="s">
        <v>123</v>
      </c>
      <c r="R486" s="16" t="s">
        <v>1372</v>
      </c>
      <c r="S486" s="27" t="s">
        <v>124</v>
      </c>
      <c r="T486" s="13">
        <v>73505</v>
      </c>
      <c r="U486" s="23">
        <v>45070</v>
      </c>
      <c r="V486" s="23">
        <v>45291</v>
      </c>
      <c r="W486" s="13">
        <f>20323.83+20323.84</f>
        <v>40647.67</v>
      </c>
    </row>
    <row r="487" spans="1:30" ht="90" x14ac:dyDescent="0.25">
      <c r="A487" s="24" t="s">
        <v>1657</v>
      </c>
      <c r="B487" s="16" t="s">
        <v>468</v>
      </c>
      <c r="C487" s="27" t="s">
        <v>1371</v>
      </c>
      <c r="D487" s="27" t="s">
        <v>1701</v>
      </c>
      <c r="E487" s="27" t="s">
        <v>50</v>
      </c>
      <c r="Q487" s="21" t="s">
        <v>1172</v>
      </c>
      <c r="S487" s="27" t="s">
        <v>705</v>
      </c>
      <c r="T487" s="13">
        <v>79499.289999999994</v>
      </c>
      <c r="U487" s="23">
        <v>45058</v>
      </c>
      <c r="V487" s="23">
        <v>45423</v>
      </c>
    </row>
    <row r="488" spans="1:30" ht="120" x14ac:dyDescent="0.25">
      <c r="A488" s="24" t="s">
        <v>1658</v>
      </c>
      <c r="B488" s="38" t="s">
        <v>468</v>
      </c>
      <c r="C488" s="39" t="s">
        <v>48</v>
      </c>
      <c r="D488" s="27" t="s">
        <v>1659</v>
      </c>
      <c r="E488" s="39" t="s">
        <v>108</v>
      </c>
      <c r="J488" s="34" t="s">
        <v>1660</v>
      </c>
      <c r="L488" s="27" t="s">
        <v>1661</v>
      </c>
      <c r="Q488" s="34" t="s">
        <v>962</v>
      </c>
      <c r="S488" s="27" t="s">
        <v>1662</v>
      </c>
      <c r="T488" s="13">
        <v>21920.59</v>
      </c>
      <c r="U488" s="25">
        <v>44890</v>
      </c>
      <c r="V488" s="25">
        <v>45620</v>
      </c>
      <c r="W488" s="13">
        <v>10960</v>
      </c>
      <c r="Y488" s="43"/>
      <c r="Z488" s="43"/>
    </row>
    <row r="489" spans="1:30" ht="75" x14ac:dyDescent="0.25">
      <c r="A489" s="95" t="s">
        <v>1663</v>
      </c>
      <c r="B489" s="38" t="s">
        <v>468</v>
      </c>
      <c r="C489" s="39" t="s">
        <v>48</v>
      </c>
      <c r="D489" s="27" t="s">
        <v>1664</v>
      </c>
      <c r="E489" s="27" t="s">
        <v>1665</v>
      </c>
      <c r="F489" s="16"/>
      <c r="G489" s="16"/>
      <c r="H489" s="16"/>
      <c r="I489" s="16"/>
      <c r="J489" s="35" t="s">
        <v>580</v>
      </c>
      <c r="K489" s="16"/>
      <c r="L489" s="16" t="s">
        <v>1666</v>
      </c>
      <c r="M489" s="16"/>
      <c r="P489" s="16"/>
      <c r="Q489" s="35" t="s">
        <v>580</v>
      </c>
      <c r="S489" s="16" t="s">
        <v>1666</v>
      </c>
      <c r="T489" s="13">
        <v>195000</v>
      </c>
      <c r="U489" s="25">
        <v>45047</v>
      </c>
      <c r="V489" s="25">
        <v>45777</v>
      </c>
      <c r="W489" s="33">
        <v>17500</v>
      </c>
      <c r="AA489" s="16"/>
      <c r="AB489" s="16"/>
      <c r="AC489" s="16"/>
      <c r="AD489" s="16"/>
    </row>
    <row r="490" spans="1:30" ht="75" x14ac:dyDescent="0.25">
      <c r="A490" s="92" t="s">
        <v>1667</v>
      </c>
      <c r="B490" s="38" t="s">
        <v>468</v>
      </c>
      <c r="C490" s="39" t="s">
        <v>48</v>
      </c>
      <c r="D490" s="27" t="s">
        <v>1668</v>
      </c>
      <c r="E490" s="27" t="s">
        <v>1665</v>
      </c>
      <c r="F490" s="16"/>
      <c r="G490" s="16"/>
      <c r="H490" s="16"/>
      <c r="I490" s="16"/>
      <c r="J490" s="35" t="s">
        <v>1158</v>
      </c>
      <c r="K490" s="16"/>
      <c r="L490" s="16" t="s">
        <v>1669</v>
      </c>
      <c r="M490" s="16"/>
      <c r="P490" s="16"/>
      <c r="Q490" s="35" t="s">
        <v>1158</v>
      </c>
      <c r="S490" s="16" t="s">
        <v>1669</v>
      </c>
      <c r="T490" s="13">
        <v>65500</v>
      </c>
      <c r="U490" s="25">
        <v>45016</v>
      </c>
      <c r="V490" s="25">
        <v>45381</v>
      </c>
      <c r="W490" s="16">
        <v>65500</v>
      </c>
      <c r="AA490" s="16"/>
      <c r="AB490" s="16"/>
      <c r="AC490" s="16"/>
      <c r="AD490" s="16"/>
    </row>
    <row r="491" spans="1:30" ht="180" x14ac:dyDescent="0.25">
      <c r="A491" s="16" t="s">
        <v>1670</v>
      </c>
      <c r="B491" s="38" t="s">
        <v>468</v>
      </c>
      <c r="C491" s="39" t="s">
        <v>48</v>
      </c>
      <c r="D491" s="27" t="s">
        <v>1671</v>
      </c>
      <c r="E491" s="16" t="s">
        <v>108</v>
      </c>
      <c r="F491" s="16"/>
      <c r="G491" s="16"/>
      <c r="H491" s="16"/>
      <c r="I491" s="16"/>
      <c r="J491" s="55" t="s">
        <v>1542</v>
      </c>
      <c r="K491" s="16"/>
      <c r="L491" s="16" t="s">
        <v>1672</v>
      </c>
      <c r="M491" s="16"/>
      <c r="P491" s="16"/>
      <c r="Q491" s="55" t="s">
        <v>1542</v>
      </c>
      <c r="S491" s="16" t="s">
        <v>1672</v>
      </c>
      <c r="T491" s="13">
        <v>99000</v>
      </c>
      <c r="U491" s="25">
        <v>44972</v>
      </c>
      <c r="V491" s="25">
        <v>45291</v>
      </c>
      <c r="W491" s="16">
        <v>99000</v>
      </c>
      <c r="AA491" s="16"/>
      <c r="AB491" s="16"/>
      <c r="AC491" s="16"/>
      <c r="AD491" s="16"/>
    </row>
    <row r="492" spans="1:30" ht="150" x14ac:dyDescent="0.25">
      <c r="A492" s="16" t="s">
        <v>1673</v>
      </c>
      <c r="B492" s="38" t="s">
        <v>468</v>
      </c>
      <c r="C492" s="39" t="s">
        <v>48</v>
      </c>
      <c r="D492" s="27" t="s">
        <v>1674</v>
      </c>
      <c r="E492" s="27" t="s">
        <v>50</v>
      </c>
      <c r="F492" s="16"/>
      <c r="G492" s="16"/>
      <c r="H492" s="16"/>
      <c r="I492" s="16"/>
      <c r="J492" s="35" t="s">
        <v>1675</v>
      </c>
      <c r="K492" s="16"/>
      <c r="L492" s="16" t="s">
        <v>1676</v>
      </c>
      <c r="M492" s="16"/>
      <c r="P492" s="16"/>
      <c r="Q492" s="35" t="s">
        <v>1675</v>
      </c>
      <c r="S492" s="16" t="s">
        <v>1676</v>
      </c>
      <c r="T492" s="13">
        <v>404976</v>
      </c>
      <c r="U492" s="25">
        <v>44977</v>
      </c>
      <c r="V492" s="25">
        <v>45016</v>
      </c>
      <c r="W492" s="16"/>
      <c r="AA492" s="16"/>
      <c r="AB492" s="16"/>
      <c r="AC492" s="16"/>
      <c r="AD492" s="16"/>
    </row>
    <row r="493" spans="1:30" ht="75" x14ac:dyDescent="0.25">
      <c r="A493" s="16" t="s">
        <v>1677</v>
      </c>
      <c r="B493" s="21" t="s">
        <v>468</v>
      </c>
      <c r="C493" s="22" t="s">
        <v>48</v>
      </c>
      <c r="D493" s="27" t="s">
        <v>1678</v>
      </c>
      <c r="E493" s="27" t="s">
        <v>1665</v>
      </c>
      <c r="F493" s="16"/>
      <c r="G493" s="16"/>
      <c r="H493" s="16"/>
      <c r="I493" s="16"/>
      <c r="J493" s="35" t="s">
        <v>543</v>
      </c>
      <c r="K493" s="21"/>
      <c r="L493" s="21" t="s">
        <v>544</v>
      </c>
      <c r="M493" s="21"/>
      <c r="N493" s="21"/>
      <c r="O493" s="21"/>
      <c r="P493" s="21"/>
      <c r="Q493" s="35" t="s">
        <v>543</v>
      </c>
      <c r="R493" s="21"/>
      <c r="S493" s="21" t="s">
        <v>544</v>
      </c>
      <c r="T493" s="13">
        <v>4000</v>
      </c>
      <c r="U493" s="25">
        <v>45032</v>
      </c>
      <c r="V493" s="25">
        <v>45397</v>
      </c>
      <c r="W493" s="16">
        <v>4000</v>
      </c>
      <c r="AA493" s="66"/>
      <c r="AB493" s="16"/>
      <c r="AC493" s="16"/>
      <c r="AD493" s="16"/>
    </row>
    <row r="494" spans="1:30" ht="90" x14ac:dyDescent="0.25">
      <c r="A494" s="16" t="s">
        <v>1679</v>
      </c>
      <c r="B494" s="21" t="s">
        <v>468</v>
      </c>
      <c r="C494" s="22" t="s">
        <v>48</v>
      </c>
      <c r="D494" s="27" t="s">
        <v>1680</v>
      </c>
      <c r="E494" s="39" t="s">
        <v>108</v>
      </c>
      <c r="F494" s="16"/>
      <c r="G494" s="16"/>
      <c r="H494" s="16"/>
      <c r="I494" s="16"/>
      <c r="J494" s="65" t="s">
        <v>538</v>
      </c>
      <c r="K494" s="16"/>
      <c r="L494" s="16" t="s">
        <v>1681</v>
      </c>
      <c r="M494" s="16"/>
      <c r="P494" s="16"/>
      <c r="Q494" s="65" t="s">
        <v>538</v>
      </c>
      <c r="S494" s="16" t="s">
        <v>1681</v>
      </c>
      <c r="T494" s="13">
        <v>19960</v>
      </c>
      <c r="U494" s="25">
        <v>44986</v>
      </c>
      <c r="V494" s="25">
        <v>45351</v>
      </c>
      <c r="W494" s="16">
        <f>1817.33+1979.24+5670.3</f>
        <v>9466.869999999999</v>
      </c>
      <c r="AA494" s="66"/>
      <c r="AB494" s="16"/>
      <c r="AC494" s="16"/>
      <c r="AD494" s="16"/>
    </row>
    <row r="495" spans="1:30" ht="75" x14ac:dyDescent="0.25">
      <c r="A495" s="16" t="s">
        <v>1682</v>
      </c>
      <c r="B495" s="21" t="s">
        <v>468</v>
      </c>
      <c r="C495" s="22" t="s">
        <v>48</v>
      </c>
      <c r="D495" s="27" t="s">
        <v>1683</v>
      </c>
      <c r="E495" s="27" t="s">
        <v>1665</v>
      </c>
      <c r="F495" s="16"/>
      <c r="G495" s="16"/>
      <c r="H495" s="16"/>
      <c r="I495" s="16"/>
      <c r="J495" s="65" t="s">
        <v>844</v>
      </c>
      <c r="K495" s="16"/>
      <c r="L495" s="16" t="s">
        <v>1162</v>
      </c>
      <c r="M495" s="16"/>
      <c r="P495" s="16"/>
      <c r="Q495" s="65" t="s">
        <v>844</v>
      </c>
      <c r="S495" s="16" t="s">
        <v>1162</v>
      </c>
      <c r="T495" s="13">
        <v>5999.69</v>
      </c>
      <c r="U495" s="25">
        <v>44972</v>
      </c>
      <c r="V495" s="25">
        <v>45336</v>
      </c>
      <c r="W495" s="16"/>
      <c r="AA495" s="66"/>
      <c r="AB495" s="16"/>
      <c r="AC495" s="16"/>
      <c r="AD495" s="16"/>
    </row>
    <row r="496" spans="1:30" ht="60" x14ac:dyDescent="0.25">
      <c r="A496" s="38" t="s">
        <v>1684</v>
      </c>
      <c r="B496" s="38" t="s">
        <v>468</v>
      </c>
      <c r="C496" s="39" t="s">
        <v>48</v>
      </c>
      <c r="D496" s="39" t="s">
        <v>1685</v>
      </c>
      <c r="E496" s="39" t="s">
        <v>108</v>
      </c>
      <c r="F496" s="38"/>
      <c r="G496" s="38"/>
      <c r="H496" s="38"/>
      <c r="I496" s="38"/>
      <c r="J496" s="40" t="s">
        <v>1686</v>
      </c>
      <c r="K496" s="38"/>
      <c r="L496" s="39" t="s">
        <v>563</v>
      </c>
      <c r="M496" s="38"/>
      <c r="N496" s="38"/>
      <c r="O496" s="38"/>
      <c r="P496" s="38"/>
      <c r="Q496" s="40" t="s">
        <v>1686</v>
      </c>
      <c r="R496" s="38"/>
      <c r="S496" s="39" t="s">
        <v>563</v>
      </c>
      <c r="T496" s="41">
        <v>19500</v>
      </c>
      <c r="U496" s="25">
        <v>44986</v>
      </c>
      <c r="V496" s="25">
        <v>45716</v>
      </c>
      <c r="W496" s="13">
        <v>0</v>
      </c>
      <c r="Y496" s="43"/>
      <c r="Z496" s="43"/>
      <c r="AA496" s="44"/>
      <c r="AB496" s="43"/>
      <c r="AC496" s="43"/>
      <c r="AD496" s="43"/>
    </row>
    <row r="497" spans="1:30" ht="225" x14ac:dyDescent="0.25">
      <c r="A497" s="16" t="s">
        <v>1687</v>
      </c>
      <c r="B497" s="38" t="s">
        <v>468</v>
      </c>
      <c r="C497" s="22" t="s">
        <v>48</v>
      </c>
      <c r="D497" s="27" t="s">
        <v>1688</v>
      </c>
      <c r="E497" s="22" t="s">
        <v>50</v>
      </c>
      <c r="F497" s="64"/>
      <c r="G497" s="43"/>
      <c r="H497" s="39"/>
      <c r="I497" s="39"/>
      <c r="J497" s="43"/>
      <c r="K497" s="43"/>
      <c r="L497" s="51"/>
      <c r="M497" s="64" t="s">
        <v>868</v>
      </c>
      <c r="N497" s="43"/>
      <c r="O497" s="39" t="s">
        <v>869</v>
      </c>
      <c r="P497" s="39" t="s">
        <v>604</v>
      </c>
      <c r="Q497" s="66"/>
      <c r="S497" s="16"/>
      <c r="T497" s="33">
        <v>15112.1</v>
      </c>
      <c r="U497" s="25">
        <v>45047</v>
      </c>
      <c r="V497" s="25">
        <v>45412</v>
      </c>
      <c r="W497" s="13">
        <v>0</v>
      </c>
      <c r="AA497" s="66"/>
      <c r="AB497" s="16"/>
      <c r="AC497" s="16"/>
      <c r="AD497" s="16"/>
    </row>
    <row r="498" spans="1:30" ht="105" x14ac:dyDescent="0.25">
      <c r="A498" s="24" t="s">
        <v>1696</v>
      </c>
      <c r="B498" s="38" t="s">
        <v>468</v>
      </c>
      <c r="C498" s="22" t="s">
        <v>48</v>
      </c>
      <c r="D498" s="27" t="s">
        <v>1697</v>
      </c>
      <c r="E498" s="27" t="s">
        <v>108</v>
      </c>
      <c r="F498" s="16"/>
      <c r="G498" s="16"/>
      <c r="H498" s="16"/>
      <c r="I498" s="16"/>
      <c r="J498" s="35"/>
      <c r="K498" s="16"/>
      <c r="L498" s="16"/>
      <c r="M498" s="16"/>
      <c r="P498" s="16"/>
      <c r="Q498" s="65" t="s">
        <v>1578</v>
      </c>
      <c r="S498" s="16" t="s">
        <v>1060</v>
      </c>
      <c r="T498" s="19" t="s">
        <v>1698</v>
      </c>
      <c r="U498" s="25">
        <v>44936</v>
      </c>
      <c r="V498" s="25">
        <v>44936</v>
      </c>
      <c r="W498" s="16">
        <v>1845.88</v>
      </c>
      <c r="X498" s="16"/>
      <c r="AA498" s="66"/>
      <c r="AB498" s="16"/>
      <c r="AC498" s="16"/>
      <c r="AD498" s="16"/>
    </row>
    <row r="499" spans="1:30" ht="90" x14ac:dyDescent="0.25">
      <c r="A499" s="16" t="s">
        <v>1699</v>
      </c>
      <c r="B499" s="38" t="s">
        <v>468</v>
      </c>
      <c r="C499" s="22" t="s">
        <v>48</v>
      </c>
      <c r="D499" s="27" t="s">
        <v>1700</v>
      </c>
      <c r="E499" s="27" t="s">
        <v>108</v>
      </c>
      <c r="F499" s="16"/>
      <c r="G499" s="16"/>
      <c r="H499" s="16"/>
      <c r="I499" s="16"/>
      <c r="J499" s="35"/>
      <c r="K499" s="16"/>
      <c r="L499" s="16"/>
      <c r="M499" s="16"/>
      <c r="P499" s="16"/>
      <c r="Q499" s="65" t="s">
        <v>1695</v>
      </c>
      <c r="S499" s="16" t="s">
        <v>1065</v>
      </c>
      <c r="T499" s="13">
        <v>350</v>
      </c>
      <c r="U499" s="25">
        <v>44936</v>
      </c>
      <c r="V499" s="25">
        <v>44967</v>
      </c>
      <c r="W499" s="13">
        <v>350</v>
      </c>
      <c r="X499" s="16"/>
      <c r="AA499" s="66"/>
      <c r="AB499" s="16"/>
      <c r="AC499" s="16"/>
      <c r="AD499" s="16"/>
    </row>
    <row r="500" spans="1:30" ht="60" x14ac:dyDescent="0.25">
      <c r="A500" s="56" t="s">
        <v>1626</v>
      </c>
      <c r="B500" s="57" t="s">
        <v>468</v>
      </c>
      <c r="C500" s="48" t="s">
        <v>1371</v>
      </c>
      <c r="D500" s="48" t="s">
        <v>1627</v>
      </c>
      <c r="E500" s="48" t="s">
        <v>108</v>
      </c>
      <c r="F500" s="57"/>
      <c r="G500" s="57"/>
      <c r="H500" s="57"/>
      <c r="I500" s="57"/>
      <c r="J500" s="59">
        <v>10991370155</v>
      </c>
      <c r="K500" s="59" t="s">
        <v>1372</v>
      </c>
      <c r="L500" s="59" t="s">
        <v>825</v>
      </c>
      <c r="M500" s="59" t="s">
        <v>1372</v>
      </c>
      <c r="N500" s="59" t="s">
        <v>1372</v>
      </c>
      <c r="O500" s="59" t="s">
        <v>1372</v>
      </c>
      <c r="P500" s="57"/>
      <c r="Q500" s="57" t="s">
        <v>1628</v>
      </c>
      <c r="R500" s="57" t="s">
        <v>1372</v>
      </c>
      <c r="S500" s="48" t="s">
        <v>825</v>
      </c>
      <c r="T500" s="94">
        <v>36000</v>
      </c>
      <c r="U500" s="96">
        <v>45078</v>
      </c>
      <c r="V500" s="96">
        <v>45199</v>
      </c>
      <c r="W500" s="94">
        <f>15000+16000</f>
        <v>31000</v>
      </c>
      <c r="X500" s="93"/>
      <c r="Y500" s="93"/>
      <c r="Z500" s="57"/>
      <c r="AA500" s="57"/>
      <c r="AB500" s="57"/>
      <c r="AC500" s="59"/>
    </row>
    <row r="501" spans="1:30" ht="60" x14ac:dyDescent="0.25">
      <c r="A501" s="56" t="s">
        <v>1704</v>
      </c>
      <c r="B501" s="57" t="s">
        <v>468</v>
      </c>
      <c r="C501" s="48" t="s">
        <v>1371</v>
      </c>
      <c r="D501" s="48" t="s">
        <v>1705</v>
      </c>
      <c r="E501" s="48" t="s">
        <v>54</v>
      </c>
      <c r="F501" s="57"/>
      <c r="G501" s="57"/>
      <c r="H501" s="57"/>
      <c r="I501" s="57"/>
      <c r="J501" s="59" t="s">
        <v>1372</v>
      </c>
      <c r="K501" s="59" t="s">
        <v>1372</v>
      </c>
      <c r="L501" s="59" t="s">
        <v>1372</v>
      </c>
      <c r="M501" s="59" t="s">
        <v>1372</v>
      </c>
      <c r="N501" s="59" t="s">
        <v>1372</v>
      </c>
      <c r="O501" s="59" t="s">
        <v>1372</v>
      </c>
      <c r="P501" s="57"/>
      <c r="Q501" s="57" t="s">
        <v>1706</v>
      </c>
      <c r="R501" s="57" t="s">
        <v>1372</v>
      </c>
      <c r="S501" s="48" t="s">
        <v>919</v>
      </c>
      <c r="T501" s="94">
        <v>9840</v>
      </c>
      <c r="U501" s="96">
        <v>45170</v>
      </c>
      <c r="V501" s="96">
        <v>45504</v>
      </c>
      <c r="W501" s="94"/>
      <c r="X501" s="93"/>
      <c r="Y501" s="93"/>
      <c r="Z501" s="57"/>
      <c r="AA501" s="57"/>
      <c r="AB501" s="57"/>
      <c r="AC501" s="59"/>
    </row>
    <row r="502" spans="1:30" ht="60" x14ac:dyDescent="0.25">
      <c r="A502" s="56" t="s">
        <v>1707</v>
      </c>
      <c r="B502" s="57" t="s">
        <v>468</v>
      </c>
      <c r="C502" s="48" t="s">
        <v>1371</v>
      </c>
      <c r="D502" s="48" t="s">
        <v>1708</v>
      </c>
      <c r="E502" s="48" t="s">
        <v>54</v>
      </c>
      <c r="F502" s="57"/>
      <c r="G502" s="57"/>
      <c r="H502" s="57"/>
      <c r="I502" s="57"/>
      <c r="J502" s="59" t="s">
        <v>1372</v>
      </c>
      <c r="K502" s="59" t="s">
        <v>1372</v>
      </c>
      <c r="L502" s="59" t="s">
        <v>1372</v>
      </c>
      <c r="M502" s="59" t="s">
        <v>1372</v>
      </c>
      <c r="N502" s="59" t="s">
        <v>1372</v>
      </c>
      <c r="O502" s="59" t="s">
        <v>1372</v>
      </c>
      <c r="P502" s="57"/>
      <c r="Q502" s="57" t="s">
        <v>1628</v>
      </c>
      <c r="R502" s="57" t="s">
        <v>1372</v>
      </c>
      <c r="S502" s="48" t="s">
        <v>825</v>
      </c>
      <c r="T502" s="94">
        <v>110000</v>
      </c>
      <c r="U502" s="96">
        <v>45084</v>
      </c>
      <c r="V502" s="96">
        <v>45449</v>
      </c>
      <c r="W502" s="94">
        <v>27500</v>
      </c>
      <c r="X502" s="93"/>
      <c r="Y502" s="93"/>
      <c r="Z502" s="57"/>
      <c r="AA502" s="57"/>
      <c r="AB502" s="57"/>
      <c r="AC502" s="59"/>
    </row>
    <row r="503" spans="1:30" ht="60" x14ac:dyDescent="0.25">
      <c r="A503" s="56" t="s">
        <v>1709</v>
      </c>
      <c r="B503" s="57" t="s">
        <v>468</v>
      </c>
      <c r="C503" s="48" t="s">
        <v>1371</v>
      </c>
      <c r="D503" s="48" t="s">
        <v>1710</v>
      </c>
      <c r="E503" s="48" t="s">
        <v>54</v>
      </c>
      <c r="F503" s="57"/>
      <c r="G503" s="57"/>
      <c r="H503" s="57"/>
      <c r="I503" s="57"/>
      <c r="J503" s="59">
        <v>8807540151</v>
      </c>
      <c r="K503" s="59" t="s">
        <v>1372</v>
      </c>
      <c r="L503" s="59" t="s">
        <v>1856</v>
      </c>
      <c r="M503" s="59" t="s">
        <v>1372</v>
      </c>
      <c r="N503" s="59" t="s">
        <v>1372</v>
      </c>
      <c r="O503" s="59" t="s">
        <v>1372</v>
      </c>
      <c r="P503" s="57"/>
      <c r="Q503" s="57"/>
      <c r="R503" s="57"/>
      <c r="S503" s="48"/>
      <c r="T503" s="94">
        <v>4920</v>
      </c>
      <c r="U503" s="96">
        <v>45170</v>
      </c>
      <c r="V503" s="96">
        <v>45504</v>
      </c>
      <c r="W503" s="94"/>
      <c r="X503" s="93"/>
      <c r="Y503" s="93"/>
      <c r="Z503" s="57"/>
      <c r="AA503" s="57"/>
      <c r="AB503" s="57"/>
      <c r="AC503" s="59"/>
    </row>
    <row r="504" spans="1:30" ht="105" x14ac:dyDescent="0.25">
      <c r="A504" s="56" t="s">
        <v>1711</v>
      </c>
      <c r="B504" s="57" t="s">
        <v>468</v>
      </c>
      <c r="C504" s="48" t="s">
        <v>1371</v>
      </c>
      <c r="D504" s="48" t="s">
        <v>1712</v>
      </c>
      <c r="E504" s="48" t="s">
        <v>108</v>
      </c>
      <c r="F504" s="57"/>
      <c r="G504" s="57"/>
      <c r="H504" s="57"/>
      <c r="I504" s="57"/>
      <c r="J504" s="59">
        <v>11366701008</v>
      </c>
      <c r="K504" s="59" t="s">
        <v>1372</v>
      </c>
      <c r="L504" s="59" t="s">
        <v>1713</v>
      </c>
      <c r="M504" s="59" t="s">
        <v>1372</v>
      </c>
      <c r="N504" s="59" t="s">
        <v>1372</v>
      </c>
      <c r="O504" s="59" t="s">
        <v>1372</v>
      </c>
      <c r="P504" s="57"/>
      <c r="Q504" s="57" t="s">
        <v>1714</v>
      </c>
      <c r="R504" s="57" t="s">
        <v>1372</v>
      </c>
      <c r="S504" s="48" t="s">
        <v>1715</v>
      </c>
      <c r="T504" s="94">
        <v>1140</v>
      </c>
      <c r="U504" s="96">
        <v>45049</v>
      </c>
      <c r="V504" s="96">
        <v>45779</v>
      </c>
      <c r="W504" s="94">
        <v>380</v>
      </c>
      <c r="X504" s="93"/>
      <c r="Y504" s="93"/>
      <c r="Z504" s="57"/>
      <c r="AA504" s="57"/>
      <c r="AB504" s="57"/>
      <c r="AC504" s="59"/>
    </row>
    <row r="505" spans="1:30" ht="75" x14ac:dyDescent="0.25">
      <c r="A505" s="56" t="s">
        <v>1716</v>
      </c>
      <c r="B505" s="57" t="s">
        <v>468</v>
      </c>
      <c r="C505" s="48" t="s">
        <v>1371</v>
      </c>
      <c r="D505" s="48" t="s">
        <v>1717</v>
      </c>
      <c r="E505" s="48" t="s">
        <v>54</v>
      </c>
      <c r="F505" s="57"/>
      <c r="G505" s="57"/>
      <c r="H505" s="57"/>
      <c r="I505" s="57"/>
      <c r="J505" s="59" t="s">
        <v>1372</v>
      </c>
      <c r="K505" s="59" t="s">
        <v>1372</v>
      </c>
      <c r="L505" s="59" t="s">
        <v>1372</v>
      </c>
      <c r="M505" s="59" t="s">
        <v>1372</v>
      </c>
      <c r="N505" s="59" t="s">
        <v>1372</v>
      </c>
      <c r="O505" s="59" t="s">
        <v>1372</v>
      </c>
      <c r="P505" s="57"/>
      <c r="Q505" s="57" t="s">
        <v>1372</v>
      </c>
      <c r="R505" s="57" t="s">
        <v>1372</v>
      </c>
      <c r="S505" s="48" t="s">
        <v>530</v>
      </c>
      <c r="T505" s="94">
        <v>212640</v>
      </c>
      <c r="U505" s="96">
        <v>45078</v>
      </c>
      <c r="V505" s="96">
        <v>45808</v>
      </c>
      <c r="W505" s="94">
        <v>12201.16</v>
      </c>
      <c r="X505" s="93"/>
      <c r="Y505" s="93"/>
      <c r="Z505" s="57"/>
      <c r="AA505" s="57"/>
      <c r="AB505" s="57"/>
      <c r="AC505" s="59"/>
    </row>
    <row r="506" spans="1:30" ht="60" x14ac:dyDescent="0.25">
      <c r="A506" s="56" t="s">
        <v>1718</v>
      </c>
      <c r="B506" s="57" t="s">
        <v>468</v>
      </c>
      <c r="C506" s="48" t="s">
        <v>1371</v>
      </c>
      <c r="D506" s="48" t="s">
        <v>1719</v>
      </c>
      <c r="E506" s="48" t="s">
        <v>54</v>
      </c>
      <c r="F506" s="57"/>
      <c r="G506" s="57"/>
      <c r="H506" s="57"/>
      <c r="I506" s="57"/>
      <c r="J506" s="59" t="s">
        <v>1372</v>
      </c>
      <c r="K506" s="59" t="s">
        <v>1372</v>
      </c>
      <c r="L506" s="59" t="s">
        <v>1372</v>
      </c>
      <c r="M506" s="59" t="s">
        <v>1372</v>
      </c>
      <c r="N506" s="59" t="s">
        <v>1372</v>
      </c>
      <c r="O506" s="59" t="s">
        <v>1372</v>
      </c>
      <c r="P506" s="57"/>
      <c r="Q506" s="57" t="s">
        <v>1372</v>
      </c>
      <c r="R506" s="57" t="s">
        <v>1372</v>
      </c>
      <c r="S506" s="48" t="s">
        <v>530</v>
      </c>
      <c r="T506" s="94">
        <v>52800</v>
      </c>
      <c r="U506" s="96">
        <v>45078</v>
      </c>
      <c r="V506" s="96">
        <v>45900</v>
      </c>
      <c r="W506" s="94"/>
      <c r="X506" s="93"/>
      <c r="Y506" s="93"/>
      <c r="Z506" s="57"/>
      <c r="AA506" s="57"/>
      <c r="AB506" s="57"/>
      <c r="AC506" s="59"/>
    </row>
    <row r="507" spans="1:30" ht="60" x14ac:dyDescent="0.25">
      <c r="A507" s="56" t="s">
        <v>1720</v>
      </c>
      <c r="B507" s="57" t="s">
        <v>468</v>
      </c>
      <c r="C507" s="48" t="s">
        <v>1371</v>
      </c>
      <c r="D507" s="48" t="s">
        <v>1721</v>
      </c>
      <c r="E507" s="48" t="s">
        <v>54</v>
      </c>
      <c r="F507" s="57"/>
      <c r="G507" s="57"/>
      <c r="H507" s="57"/>
      <c r="I507" s="57"/>
      <c r="J507" s="59" t="s">
        <v>1372</v>
      </c>
      <c r="K507" s="59" t="s">
        <v>1372</v>
      </c>
      <c r="L507" s="59" t="s">
        <v>1372</v>
      </c>
      <c r="M507" s="59" t="s">
        <v>1372</v>
      </c>
      <c r="N507" s="59" t="s">
        <v>1372</v>
      </c>
      <c r="O507" s="59" t="s">
        <v>1372</v>
      </c>
      <c r="P507" s="57"/>
      <c r="Q507" s="57" t="s">
        <v>1372</v>
      </c>
      <c r="R507" s="57" t="s">
        <v>1372</v>
      </c>
      <c r="S507" s="48" t="s">
        <v>1722</v>
      </c>
      <c r="T507" s="94">
        <v>15003</v>
      </c>
      <c r="U507" s="96">
        <v>45108</v>
      </c>
      <c r="V507" s="96">
        <v>45473</v>
      </c>
      <c r="W507" s="94"/>
      <c r="X507" s="93"/>
      <c r="Y507" s="93"/>
      <c r="Z507" s="48"/>
      <c r="AA507" s="57"/>
      <c r="AB507" s="57"/>
      <c r="AC507" s="59"/>
    </row>
    <row r="508" spans="1:30" ht="45" x14ac:dyDescent="0.25">
      <c r="A508" s="56" t="s">
        <v>1723</v>
      </c>
      <c r="B508" s="57" t="s">
        <v>468</v>
      </c>
      <c r="C508" s="48" t="s">
        <v>1371</v>
      </c>
      <c r="D508" s="48" t="s">
        <v>1724</v>
      </c>
      <c r="E508" s="48" t="s">
        <v>108</v>
      </c>
      <c r="F508" s="57"/>
      <c r="G508" s="57"/>
      <c r="H508" s="57"/>
      <c r="I508" s="57"/>
      <c r="J508" s="59" t="s">
        <v>1372</v>
      </c>
      <c r="K508" s="59" t="s">
        <v>1372</v>
      </c>
      <c r="L508" s="59" t="s">
        <v>1372</v>
      </c>
      <c r="M508" s="59" t="s">
        <v>1372</v>
      </c>
      <c r="N508" s="59" t="s">
        <v>1372</v>
      </c>
      <c r="O508" s="59" t="s">
        <v>1372</v>
      </c>
      <c r="P508" s="57"/>
      <c r="Q508" s="57" t="s">
        <v>1372</v>
      </c>
      <c r="R508" s="57" t="s">
        <v>1372</v>
      </c>
      <c r="S508" s="48" t="s">
        <v>1071</v>
      </c>
      <c r="T508" s="94">
        <v>280</v>
      </c>
      <c r="U508" s="96">
        <v>45105</v>
      </c>
      <c r="V508" s="96">
        <v>45110</v>
      </c>
      <c r="W508" s="94"/>
      <c r="X508" s="93"/>
      <c r="Y508" s="93"/>
      <c r="Z508" s="57"/>
      <c r="AA508" s="57"/>
      <c r="AB508" s="57"/>
      <c r="AC508" s="59"/>
    </row>
    <row r="509" spans="1:30" ht="45" x14ac:dyDescent="0.25">
      <c r="A509" s="56" t="s">
        <v>1725</v>
      </c>
      <c r="B509" s="57" t="s">
        <v>468</v>
      </c>
      <c r="C509" s="48" t="s">
        <v>1371</v>
      </c>
      <c r="D509" s="48" t="s">
        <v>1724</v>
      </c>
      <c r="E509" s="48" t="s">
        <v>108</v>
      </c>
      <c r="F509" s="57"/>
      <c r="G509" s="57"/>
      <c r="H509" s="57"/>
      <c r="I509" s="57"/>
      <c r="J509" s="59" t="s">
        <v>1372</v>
      </c>
      <c r="K509" s="59" t="s">
        <v>1372</v>
      </c>
      <c r="L509" s="59" t="s">
        <v>1372</v>
      </c>
      <c r="M509" s="59" t="s">
        <v>1372</v>
      </c>
      <c r="N509" s="59" t="s">
        <v>1372</v>
      </c>
      <c r="O509" s="59" t="s">
        <v>1372</v>
      </c>
      <c r="P509" s="57"/>
      <c r="Q509" s="57" t="s">
        <v>1372</v>
      </c>
      <c r="R509" s="57" t="s">
        <v>1372</v>
      </c>
      <c r="S509" s="48" t="s">
        <v>1065</v>
      </c>
      <c r="T509" s="94">
        <v>300</v>
      </c>
      <c r="U509" s="96">
        <v>45105</v>
      </c>
      <c r="V509" s="96">
        <v>45110</v>
      </c>
      <c r="W509" s="94"/>
      <c r="X509" s="93"/>
      <c r="Y509" s="93"/>
      <c r="Z509" s="57"/>
      <c r="AA509" s="57"/>
      <c r="AB509" s="57"/>
      <c r="AC509" s="59"/>
    </row>
    <row r="510" spans="1:30" ht="45" x14ac:dyDescent="0.25">
      <c r="A510" s="56" t="s">
        <v>1726</v>
      </c>
      <c r="B510" s="57" t="s">
        <v>468</v>
      </c>
      <c r="C510" s="48" t="s">
        <v>1371</v>
      </c>
      <c r="D510" s="48" t="s">
        <v>1724</v>
      </c>
      <c r="E510" s="48" t="s">
        <v>108</v>
      </c>
      <c r="F510" s="57"/>
      <c r="G510" s="57"/>
      <c r="H510" s="57"/>
      <c r="I510" s="57"/>
      <c r="J510" s="59" t="s">
        <v>1372</v>
      </c>
      <c r="K510" s="59" t="s">
        <v>1372</v>
      </c>
      <c r="L510" s="59" t="s">
        <v>1372</v>
      </c>
      <c r="M510" s="59" t="s">
        <v>1372</v>
      </c>
      <c r="N510" s="59" t="s">
        <v>1372</v>
      </c>
      <c r="O510" s="59" t="s">
        <v>1372</v>
      </c>
      <c r="P510" s="57"/>
      <c r="Q510" s="57" t="s">
        <v>1372</v>
      </c>
      <c r="R510" s="57" t="s">
        <v>1372</v>
      </c>
      <c r="S510" s="48" t="s">
        <v>1727</v>
      </c>
      <c r="T510" s="94">
        <v>300</v>
      </c>
      <c r="U510" s="96">
        <v>45105</v>
      </c>
      <c r="V510" s="96">
        <v>45110</v>
      </c>
      <c r="W510" s="94">
        <v>300</v>
      </c>
      <c r="X510" s="93"/>
      <c r="Y510" s="93"/>
      <c r="Z510" s="57"/>
      <c r="AA510" s="57"/>
      <c r="AB510" s="57"/>
      <c r="AC510" s="59"/>
    </row>
    <row r="511" spans="1:30" ht="45" x14ac:dyDescent="0.25">
      <c r="A511" s="56" t="s">
        <v>1728</v>
      </c>
      <c r="B511" s="57" t="s">
        <v>468</v>
      </c>
      <c r="C511" s="48" t="s">
        <v>1371</v>
      </c>
      <c r="D511" s="48" t="s">
        <v>1724</v>
      </c>
      <c r="E511" s="48" t="s">
        <v>108</v>
      </c>
      <c r="F511" s="57"/>
      <c r="G511" s="57"/>
      <c r="H511" s="57"/>
      <c r="I511" s="57"/>
      <c r="J511" s="59" t="s">
        <v>1372</v>
      </c>
      <c r="K511" s="59" t="s">
        <v>1372</v>
      </c>
      <c r="L511" s="59" t="s">
        <v>1372</v>
      </c>
      <c r="M511" s="59" t="s">
        <v>1372</v>
      </c>
      <c r="N511" s="59" t="s">
        <v>1372</v>
      </c>
      <c r="O511" s="59" t="s">
        <v>1372</v>
      </c>
      <c r="P511" s="57"/>
      <c r="Q511" s="57" t="s">
        <v>1729</v>
      </c>
      <c r="R511" s="57" t="s">
        <v>1372</v>
      </c>
      <c r="S511" s="48" t="s">
        <v>1730</v>
      </c>
      <c r="T511" s="94">
        <v>150</v>
      </c>
      <c r="U511" s="96">
        <v>45105</v>
      </c>
      <c r="V511" s="96">
        <v>45110</v>
      </c>
      <c r="W511" s="94"/>
      <c r="X511" s="93"/>
      <c r="Y511" s="93"/>
      <c r="Z511" s="57"/>
      <c r="AA511" s="57"/>
      <c r="AB511" s="57"/>
      <c r="AC511" s="59"/>
    </row>
    <row r="512" spans="1:30" ht="45" x14ac:dyDescent="0.25">
      <c r="A512" s="56" t="s">
        <v>1731</v>
      </c>
      <c r="B512" s="57" t="s">
        <v>468</v>
      </c>
      <c r="C512" s="48" t="s">
        <v>1371</v>
      </c>
      <c r="D512" s="48" t="s">
        <v>1732</v>
      </c>
      <c r="E512" s="48" t="s">
        <v>108</v>
      </c>
      <c r="F512" s="57"/>
      <c r="G512" s="57"/>
      <c r="H512" s="57"/>
      <c r="I512" s="57"/>
      <c r="J512" s="59" t="s">
        <v>1372</v>
      </c>
      <c r="K512" s="59" t="s">
        <v>1372</v>
      </c>
      <c r="L512" s="59" t="s">
        <v>1372</v>
      </c>
      <c r="M512" s="59" t="s">
        <v>1372</v>
      </c>
      <c r="N512" s="59" t="s">
        <v>1372</v>
      </c>
      <c r="O512" s="59" t="s">
        <v>1372</v>
      </c>
      <c r="P512" s="57"/>
      <c r="Q512" s="57" t="s">
        <v>1733</v>
      </c>
      <c r="R512" s="57" t="s">
        <v>1372</v>
      </c>
      <c r="S512" s="48" t="s">
        <v>560</v>
      </c>
      <c r="T512" s="94">
        <v>1923.63</v>
      </c>
      <c r="U512" s="96">
        <v>45105</v>
      </c>
      <c r="V512" s="96">
        <v>45110</v>
      </c>
      <c r="W512" s="94">
        <v>1955.63</v>
      </c>
      <c r="X512" s="93"/>
      <c r="Y512" s="93"/>
      <c r="Z512" s="57"/>
      <c r="AA512" s="57"/>
      <c r="AB512" s="57"/>
      <c r="AC512" s="59"/>
    </row>
    <row r="513" spans="1:29" ht="90" x14ac:dyDescent="0.25">
      <c r="A513" s="56" t="s">
        <v>1734</v>
      </c>
      <c r="B513" s="57" t="s">
        <v>468</v>
      </c>
      <c r="C513" s="48" t="s">
        <v>1371</v>
      </c>
      <c r="D513" s="48" t="s">
        <v>1735</v>
      </c>
      <c r="E513" s="48" t="s">
        <v>108</v>
      </c>
      <c r="F513" s="57"/>
      <c r="G513" s="57"/>
      <c r="H513" s="57"/>
      <c r="I513" s="57"/>
      <c r="J513" s="59" t="s">
        <v>1372</v>
      </c>
      <c r="K513" s="59" t="s">
        <v>1372</v>
      </c>
      <c r="L513" s="59" t="s">
        <v>1372</v>
      </c>
      <c r="M513" s="59" t="s">
        <v>1372</v>
      </c>
      <c r="N513" s="59" t="s">
        <v>1372</v>
      </c>
      <c r="O513" s="59" t="s">
        <v>1372</v>
      </c>
      <c r="P513" s="57"/>
      <c r="Q513" s="97" t="s">
        <v>677</v>
      </c>
      <c r="R513" s="57" t="s">
        <v>1372</v>
      </c>
      <c r="S513" s="48" t="s">
        <v>678</v>
      </c>
      <c r="T513" s="94">
        <v>5070</v>
      </c>
      <c r="U513" s="96">
        <v>45037</v>
      </c>
      <c r="V513" s="96">
        <v>45085</v>
      </c>
      <c r="W513" s="94">
        <v>5070</v>
      </c>
      <c r="X513" s="93"/>
      <c r="Y513" s="93"/>
      <c r="Z513" s="57"/>
      <c r="AA513" s="57"/>
      <c r="AB513" s="57"/>
      <c r="AC513" s="59"/>
    </row>
    <row r="514" spans="1:29" ht="75" x14ac:dyDescent="0.25">
      <c r="A514" s="56" t="s">
        <v>1736</v>
      </c>
      <c r="B514" s="57" t="s">
        <v>468</v>
      </c>
      <c r="C514" s="48" t="s">
        <v>1371</v>
      </c>
      <c r="D514" s="48" t="s">
        <v>1737</v>
      </c>
      <c r="E514" s="48"/>
      <c r="F514" s="57"/>
      <c r="G514" s="57"/>
      <c r="H514" s="57"/>
      <c r="I514" s="57"/>
      <c r="J514" s="59" t="s">
        <v>1372</v>
      </c>
      <c r="K514" s="59" t="s">
        <v>1372</v>
      </c>
      <c r="L514" s="59" t="s">
        <v>1372</v>
      </c>
      <c r="M514" s="59" t="s">
        <v>1372</v>
      </c>
      <c r="N514" s="59" t="s">
        <v>1372</v>
      </c>
      <c r="O514" s="59" t="s">
        <v>1372</v>
      </c>
      <c r="P514" s="57"/>
      <c r="Q514" s="57" t="s">
        <v>677</v>
      </c>
      <c r="R514" s="57" t="s">
        <v>1372</v>
      </c>
      <c r="S514" s="48" t="s">
        <v>678</v>
      </c>
      <c r="T514" s="94">
        <v>1900</v>
      </c>
      <c r="U514" s="96">
        <v>45037</v>
      </c>
      <c r="V514" s="96">
        <v>45044</v>
      </c>
      <c r="W514" s="94">
        <v>1900</v>
      </c>
      <c r="X514" s="93"/>
      <c r="Y514" s="93"/>
      <c r="Z514" s="57"/>
      <c r="AA514" s="57"/>
      <c r="AB514" s="57"/>
      <c r="AC514" s="59"/>
    </row>
    <row r="515" spans="1:29" ht="60" x14ac:dyDescent="0.25">
      <c r="A515" s="56" t="s">
        <v>1738</v>
      </c>
      <c r="B515" s="57" t="s">
        <v>468</v>
      </c>
      <c r="C515" s="48" t="s">
        <v>1371</v>
      </c>
      <c r="D515" s="48" t="s">
        <v>1739</v>
      </c>
      <c r="E515" s="48" t="s">
        <v>108</v>
      </c>
      <c r="F515" s="57"/>
      <c r="G515" s="57"/>
      <c r="H515" s="57"/>
      <c r="I515" s="57"/>
      <c r="J515" s="59" t="s">
        <v>1372</v>
      </c>
      <c r="K515" s="59" t="s">
        <v>1372</v>
      </c>
      <c r="L515" s="59" t="s">
        <v>1372</v>
      </c>
      <c r="M515" s="59" t="s">
        <v>1372</v>
      </c>
      <c r="N515" s="59" t="s">
        <v>1372</v>
      </c>
      <c r="O515" s="59" t="s">
        <v>1372</v>
      </c>
      <c r="P515" s="57"/>
      <c r="Q515" s="57" t="s">
        <v>1740</v>
      </c>
      <c r="R515" s="57" t="s">
        <v>1372</v>
      </c>
      <c r="S515" s="48" t="s">
        <v>1219</v>
      </c>
      <c r="T515" s="94">
        <v>2025</v>
      </c>
      <c r="U515" s="96">
        <v>45054</v>
      </c>
      <c r="V515" s="96">
        <v>45079</v>
      </c>
      <c r="W515" s="94"/>
      <c r="X515" s="93"/>
      <c r="Y515" s="93"/>
      <c r="Z515" s="57"/>
      <c r="AA515" s="57"/>
      <c r="AB515" s="57"/>
      <c r="AC515" s="59"/>
    </row>
    <row r="516" spans="1:29" ht="60" x14ac:dyDescent="0.25">
      <c r="A516" s="56" t="s">
        <v>1741</v>
      </c>
      <c r="B516" s="57" t="s">
        <v>468</v>
      </c>
      <c r="C516" s="48" t="s">
        <v>1371</v>
      </c>
      <c r="D516" s="48" t="s">
        <v>1742</v>
      </c>
      <c r="E516" s="48" t="s">
        <v>108</v>
      </c>
      <c r="F516" s="57"/>
      <c r="G516" s="57"/>
      <c r="H516" s="57"/>
      <c r="I516" s="57"/>
      <c r="J516" s="59" t="s">
        <v>1372</v>
      </c>
      <c r="K516" s="59" t="s">
        <v>1372</v>
      </c>
      <c r="L516" s="59" t="s">
        <v>1372</v>
      </c>
      <c r="M516" s="59" t="s">
        <v>1372</v>
      </c>
      <c r="N516" s="59" t="s">
        <v>1372</v>
      </c>
      <c r="O516" s="59" t="s">
        <v>1372</v>
      </c>
      <c r="P516" s="57"/>
      <c r="Q516" s="57" t="s">
        <v>1084</v>
      </c>
      <c r="R516" s="57" t="s">
        <v>1372</v>
      </c>
      <c r="S516" s="48" t="s">
        <v>1743</v>
      </c>
      <c r="T516" s="94">
        <v>318.88</v>
      </c>
      <c r="U516" s="96">
        <v>45064</v>
      </c>
      <c r="V516" s="96">
        <v>45079</v>
      </c>
      <c r="W516" s="94">
        <f>389.03/122*100</f>
        <v>318.87704918032784</v>
      </c>
      <c r="X516" s="93"/>
      <c r="Y516" s="93"/>
      <c r="Z516" s="57"/>
      <c r="AA516" s="57"/>
      <c r="AB516" s="57"/>
      <c r="AC516" s="59"/>
    </row>
    <row r="517" spans="1:29" ht="75" x14ac:dyDescent="0.25">
      <c r="A517" s="56" t="s">
        <v>1744</v>
      </c>
      <c r="B517" s="57" t="s">
        <v>468</v>
      </c>
      <c r="C517" s="48" t="s">
        <v>1371</v>
      </c>
      <c r="D517" s="48" t="s">
        <v>1745</v>
      </c>
      <c r="E517" s="48" t="s">
        <v>108</v>
      </c>
      <c r="F517" s="57"/>
      <c r="G517" s="57"/>
      <c r="H517" s="57"/>
      <c r="I517" s="57"/>
      <c r="J517" s="59" t="s">
        <v>1372</v>
      </c>
      <c r="K517" s="59" t="s">
        <v>1372</v>
      </c>
      <c r="L517" s="59"/>
      <c r="M517" s="59" t="s">
        <v>1372</v>
      </c>
      <c r="N517" s="59" t="s">
        <v>1372</v>
      </c>
      <c r="O517" s="59" t="s">
        <v>1372</v>
      </c>
      <c r="P517" s="57"/>
      <c r="Q517" s="57" t="s">
        <v>677</v>
      </c>
      <c r="R517" s="57" t="s">
        <v>1372</v>
      </c>
      <c r="S517" s="48" t="s">
        <v>678</v>
      </c>
      <c r="T517" s="94">
        <v>4000</v>
      </c>
      <c r="U517" s="96">
        <v>45062</v>
      </c>
      <c r="V517" s="96">
        <v>45065</v>
      </c>
      <c r="W517" s="94">
        <v>4000</v>
      </c>
      <c r="X517" s="93"/>
      <c r="Y517" s="93"/>
      <c r="Z517" s="57"/>
      <c r="AA517" s="57"/>
      <c r="AB517" s="57"/>
      <c r="AC517" s="59"/>
    </row>
    <row r="518" spans="1:29" ht="60" x14ac:dyDescent="0.25">
      <c r="A518" s="56" t="s">
        <v>1746</v>
      </c>
      <c r="B518" s="57" t="s">
        <v>468</v>
      </c>
      <c r="C518" s="48" t="s">
        <v>1371</v>
      </c>
      <c r="D518" s="48" t="s">
        <v>1747</v>
      </c>
      <c r="E518" s="48" t="s">
        <v>108</v>
      </c>
      <c r="F518" s="57"/>
      <c r="G518" s="57"/>
      <c r="H518" s="57"/>
      <c r="I518" s="57"/>
      <c r="J518" s="59" t="s">
        <v>1372</v>
      </c>
      <c r="K518" s="59" t="s">
        <v>1372</v>
      </c>
      <c r="L518" s="59" t="s">
        <v>1372</v>
      </c>
      <c r="M518" s="59" t="s">
        <v>1372</v>
      </c>
      <c r="N518" s="59" t="s">
        <v>1372</v>
      </c>
      <c r="O518" s="59" t="s">
        <v>1372</v>
      </c>
      <c r="P518" s="57"/>
      <c r="Q518" s="57" t="s">
        <v>1531</v>
      </c>
      <c r="R518" s="57" t="s">
        <v>1372</v>
      </c>
      <c r="S518" s="48" t="s">
        <v>1532</v>
      </c>
      <c r="T518" s="94">
        <v>11880</v>
      </c>
      <c r="U518" s="96">
        <v>45065</v>
      </c>
      <c r="V518" s="96">
        <v>45069</v>
      </c>
      <c r="W518" s="94">
        <v>11760</v>
      </c>
      <c r="X518" s="93"/>
      <c r="Y518" s="93"/>
      <c r="Z518" s="57"/>
      <c r="AA518" s="57"/>
      <c r="AB518" s="57"/>
      <c r="AC518" s="59"/>
    </row>
    <row r="519" spans="1:29" ht="105" x14ac:dyDescent="0.25">
      <c r="A519" s="56" t="s">
        <v>1748</v>
      </c>
      <c r="B519" s="57" t="s">
        <v>468</v>
      </c>
      <c r="C519" s="48" t="s">
        <v>1371</v>
      </c>
      <c r="D519" s="48" t="s">
        <v>1749</v>
      </c>
      <c r="E519" s="48" t="s">
        <v>108</v>
      </c>
      <c r="F519" s="57"/>
      <c r="G519" s="57"/>
      <c r="H519" s="57"/>
      <c r="I519" s="57"/>
      <c r="J519" s="59" t="s">
        <v>1372</v>
      </c>
      <c r="K519" s="59" t="s">
        <v>1372</v>
      </c>
      <c r="L519" s="59" t="s">
        <v>1372</v>
      </c>
      <c r="M519" s="59" t="s">
        <v>1372</v>
      </c>
      <c r="N519" s="59" t="s">
        <v>1372</v>
      </c>
      <c r="O519" s="59" t="s">
        <v>1372</v>
      </c>
      <c r="P519" s="57"/>
      <c r="Q519" s="57" t="s">
        <v>1372</v>
      </c>
      <c r="R519" s="57" t="s">
        <v>1372</v>
      </c>
      <c r="S519" s="48" t="s">
        <v>1750</v>
      </c>
      <c r="T519" s="94">
        <v>2450</v>
      </c>
      <c r="U519" s="96">
        <v>45071</v>
      </c>
      <c r="V519" s="96">
        <v>45086</v>
      </c>
      <c r="W519" s="94">
        <f>2964.5/122*100</f>
        <v>2429.9180327868853</v>
      </c>
      <c r="X519" s="93"/>
      <c r="Y519" s="93"/>
      <c r="Z519" s="57"/>
      <c r="AA519" s="57"/>
      <c r="AB519" s="57"/>
      <c r="AC519" s="59"/>
    </row>
    <row r="520" spans="1:29" ht="210" x14ac:dyDescent="0.25">
      <c r="A520" s="56" t="s">
        <v>1751</v>
      </c>
      <c r="B520" s="57" t="s">
        <v>468</v>
      </c>
      <c r="C520" s="48" t="s">
        <v>1371</v>
      </c>
      <c r="D520" s="48" t="s">
        <v>1752</v>
      </c>
      <c r="E520" s="48" t="s">
        <v>108</v>
      </c>
      <c r="F520" s="57"/>
      <c r="G520" s="57"/>
      <c r="H520" s="57"/>
      <c r="I520" s="57"/>
      <c r="J520" s="59" t="s">
        <v>1372</v>
      </c>
      <c r="K520" s="59" t="s">
        <v>1372</v>
      </c>
      <c r="L520" s="59" t="s">
        <v>1372</v>
      </c>
      <c r="M520" s="59" t="s">
        <v>1372</v>
      </c>
      <c r="N520" s="59" t="s">
        <v>1372</v>
      </c>
      <c r="O520" s="59" t="s">
        <v>1372</v>
      </c>
      <c r="P520" s="57"/>
      <c r="Q520" s="57" t="s">
        <v>1753</v>
      </c>
      <c r="R520" s="57" t="s">
        <v>1372</v>
      </c>
      <c r="S520" s="48" t="s">
        <v>1754</v>
      </c>
      <c r="T520" s="94">
        <v>27052</v>
      </c>
      <c r="U520" s="96">
        <v>45076</v>
      </c>
      <c r="V520" s="96">
        <v>45086</v>
      </c>
      <c r="W520" s="94">
        <v>26924.13</v>
      </c>
      <c r="X520" s="93"/>
      <c r="Y520" s="93"/>
      <c r="Z520" s="57"/>
      <c r="AA520" s="57"/>
      <c r="AB520" s="57"/>
      <c r="AC520" s="59"/>
    </row>
    <row r="521" spans="1:29" ht="45" x14ac:dyDescent="0.25">
      <c r="A521" s="56" t="s">
        <v>1755</v>
      </c>
      <c r="B521" s="57" t="s">
        <v>468</v>
      </c>
      <c r="C521" s="48" t="s">
        <v>1371</v>
      </c>
      <c r="D521" s="48" t="s">
        <v>1756</v>
      </c>
      <c r="E521" s="48" t="s">
        <v>108</v>
      </c>
      <c r="F521" s="57"/>
      <c r="G521" s="57"/>
      <c r="H521" s="57"/>
      <c r="I521" s="57"/>
      <c r="J521" s="59">
        <v>9586200017</v>
      </c>
      <c r="K521" s="59" t="s">
        <v>1372</v>
      </c>
      <c r="L521" s="59" t="s">
        <v>1757</v>
      </c>
      <c r="M521" s="59" t="s">
        <v>1372</v>
      </c>
      <c r="N521" s="59" t="s">
        <v>1372</v>
      </c>
      <c r="O521" s="59" t="s">
        <v>1372</v>
      </c>
      <c r="P521" s="57"/>
      <c r="Q521" s="57"/>
      <c r="R521" s="57"/>
      <c r="S521" s="63" t="s">
        <v>1757</v>
      </c>
      <c r="T521" s="94">
        <v>9750</v>
      </c>
      <c r="U521" s="96">
        <v>44959</v>
      </c>
      <c r="V521" s="96">
        <v>44971</v>
      </c>
      <c r="W521" s="94">
        <v>9750</v>
      </c>
      <c r="X521" s="93"/>
      <c r="Y521" s="93"/>
      <c r="Z521" s="57"/>
      <c r="AA521" s="57"/>
      <c r="AB521" s="57"/>
      <c r="AC521" s="59"/>
    </row>
    <row r="522" spans="1:29" ht="45" x14ac:dyDescent="0.25">
      <c r="A522" s="56" t="s">
        <v>1758</v>
      </c>
      <c r="B522" s="57" t="s">
        <v>468</v>
      </c>
      <c r="C522" s="48" t="s">
        <v>1371</v>
      </c>
      <c r="D522" s="48" t="s">
        <v>1759</v>
      </c>
      <c r="E522" s="48" t="s">
        <v>108</v>
      </c>
      <c r="F522" s="57"/>
      <c r="G522" s="57"/>
      <c r="H522" s="57"/>
      <c r="I522" s="57"/>
      <c r="J522" s="59">
        <v>10686030015</v>
      </c>
      <c r="K522" s="59" t="s">
        <v>1372</v>
      </c>
      <c r="L522" s="59" t="s">
        <v>499</v>
      </c>
      <c r="M522" s="59" t="s">
        <v>1372</v>
      </c>
      <c r="N522" s="59" t="s">
        <v>1372</v>
      </c>
      <c r="O522" s="59" t="s">
        <v>1372</v>
      </c>
      <c r="P522" s="57"/>
      <c r="Q522" s="57"/>
      <c r="R522" s="57"/>
      <c r="S522" s="63" t="s">
        <v>499</v>
      </c>
      <c r="T522" s="94">
        <v>13000</v>
      </c>
      <c r="U522" s="96">
        <v>44981</v>
      </c>
      <c r="V522" s="96">
        <v>45040</v>
      </c>
      <c r="W522" s="94">
        <v>13000</v>
      </c>
      <c r="X522" s="93"/>
      <c r="Y522" s="93"/>
      <c r="Z522" s="57"/>
      <c r="AA522" s="57"/>
      <c r="AB522" s="57"/>
      <c r="AC522" s="59"/>
    </row>
    <row r="523" spans="1:29" ht="60" x14ac:dyDescent="0.25">
      <c r="A523" s="56" t="s">
        <v>1760</v>
      </c>
      <c r="B523" s="57" t="s">
        <v>468</v>
      </c>
      <c r="C523" s="48" t="s">
        <v>1371</v>
      </c>
      <c r="D523" s="48" t="s">
        <v>1761</v>
      </c>
      <c r="E523" s="48" t="s">
        <v>54</v>
      </c>
      <c r="F523" s="57"/>
      <c r="G523" s="57"/>
      <c r="H523" s="57"/>
      <c r="I523" s="57"/>
      <c r="J523" s="59" t="s">
        <v>1372</v>
      </c>
      <c r="K523" s="59" t="s">
        <v>1372</v>
      </c>
      <c r="L523" s="59" t="s">
        <v>577</v>
      </c>
      <c r="M523" s="59" t="s">
        <v>1372</v>
      </c>
      <c r="N523" s="59" t="s">
        <v>1372</v>
      </c>
      <c r="O523" s="59" t="s">
        <v>1372</v>
      </c>
      <c r="P523" s="57"/>
      <c r="Q523" s="57"/>
      <c r="R523" s="57"/>
      <c r="S523" s="63" t="s">
        <v>577</v>
      </c>
      <c r="T523" s="94">
        <v>15480</v>
      </c>
      <c r="U523" s="96">
        <v>45084</v>
      </c>
      <c r="V523" s="96">
        <v>45114</v>
      </c>
      <c r="W523" s="94">
        <f>15480+15480</f>
        <v>30960</v>
      </c>
      <c r="X523" s="93"/>
      <c r="Y523" s="93"/>
      <c r="Z523" s="57"/>
      <c r="AA523" s="57"/>
      <c r="AB523" s="57"/>
      <c r="AC523" s="59"/>
    </row>
    <row r="524" spans="1:29" ht="45" x14ac:dyDescent="0.25">
      <c r="A524" s="56" t="s">
        <v>1762</v>
      </c>
      <c r="B524" s="57" t="s">
        <v>468</v>
      </c>
      <c r="C524" s="48" t="s">
        <v>1371</v>
      </c>
      <c r="D524" s="48" t="s">
        <v>1763</v>
      </c>
      <c r="E524" s="48" t="s">
        <v>108</v>
      </c>
      <c r="F524" s="57"/>
      <c r="G524" s="57"/>
      <c r="H524" s="57"/>
      <c r="I524" s="57"/>
      <c r="J524" s="59" t="s">
        <v>1372</v>
      </c>
      <c r="K524" s="59" t="s">
        <v>1372</v>
      </c>
      <c r="L524" s="59" t="s">
        <v>353</v>
      </c>
      <c r="M524" s="59" t="s">
        <v>1372</v>
      </c>
      <c r="N524" s="59" t="s">
        <v>1372</v>
      </c>
      <c r="O524" s="59" t="s">
        <v>1372</v>
      </c>
      <c r="P524" s="57"/>
      <c r="Q524" s="57"/>
      <c r="R524" s="57"/>
      <c r="S524" s="63" t="s">
        <v>353</v>
      </c>
      <c r="T524" s="94">
        <v>10400</v>
      </c>
      <c r="U524" s="96">
        <v>45097</v>
      </c>
      <c r="V524" s="96">
        <v>45127</v>
      </c>
      <c r="W524" s="94">
        <v>10400</v>
      </c>
      <c r="X524" s="93"/>
      <c r="Y524" s="93"/>
      <c r="Z524" s="57"/>
      <c r="AA524" s="57"/>
      <c r="AB524" s="57"/>
      <c r="AC524" s="59"/>
    </row>
    <row r="525" spans="1:29" ht="45" x14ac:dyDescent="0.25">
      <c r="A525" s="56" t="s">
        <v>1764</v>
      </c>
      <c r="B525" s="57" t="s">
        <v>468</v>
      </c>
      <c r="C525" s="48" t="s">
        <v>1371</v>
      </c>
      <c r="D525" s="48" t="s">
        <v>1765</v>
      </c>
      <c r="E525" s="48" t="s">
        <v>108</v>
      </c>
      <c r="F525" s="57"/>
      <c r="G525" s="57"/>
      <c r="H525" s="57"/>
      <c r="I525" s="57"/>
      <c r="J525" s="59">
        <v>3301500249</v>
      </c>
      <c r="K525" s="59" t="s">
        <v>1372</v>
      </c>
      <c r="L525" s="59" t="s">
        <v>1766</v>
      </c>
      <c r="M525" s="59" t="s">
        <v>1372</v>
      </c>
      <c r="N525" s="59" t="s">
        <v>1372</v>
      </c>
      <c r="O525" s="59" t="s">
        <v>1372</v>
      </c>
      <c r="P525" s="57"/>
      <c r="Q525" s="57"/>
      <c r="R525" s="57"/>
      <c r="S525" s="63" t="s">
        <v>1766</v>
      </c>
      <c r="T525" s="94">
        <v>2790</v>
      </c>
      <c r="U525" s="96">
        <v>45089</v>
      </c>
      <c r="V525" s="96">
        <v>45119</v>
      </c>
      <c r="W525" s="94"/>
      <c r="X525" s="93"/>
      <c r="Y525" s="93"/>
      <c r="Z525" s="57"/>
      <c r="AA525" s="57"/>
      <c r="AB525" s="57"/>
      <c r="AC525" s="59"/>
    </row>
    <row r="526" spans="1:29" ht="60" x14ac:dyDescent="0.25">
      <c r="A526" s="56" t="s">
        <v>1767</v>
      </c>
      <c r="B526" s="57" t="s">
        <v>468</v>
      </c>
      <c r="C526" s="48" t="s">
        <v>1371</v>
      </c>
      <c r="D526" s="48" t="s">
        <v>1768</v>
      </c>
      <c r="E526" s="48" t="s">
        <v>108</v>
      </c>
      <c r="F526" s="57"/>
      <c r="G526" s="57"/>
      <c r="H526" s="57"/>
      <c r="I526" s="57"/>
      <c r="J526" s="59">
        <v>10845881001</v>
      </c>
      <c r="K526" s="59" t="s">
        <v>1372</v>
      </c>
      <c r="L526" s="59" t="s">
        <v>1769</v>
      </c>
      <c r="M526" s="59" t="s">
        <v>1372</v>
      </c>
      <c r="N526" s="59" t="s">
        <v>1372</v>
      </c>
      <c r="O526" s="59" t="s">
        <v>1372</v>
      </c>
      <c r="P526" s="57"/>
      <c r="Q526" s="57"/>
      <c r="R526" s="57"/>
      <c r="S526" s="63" t="s">
        <v>1769</v>
      </c>
      <c r="T526" s="94">
        <v>530.4</v>
      </c>
      <c r="U526" s="96">
        <v>45099</v>
      </c>
      <c r="V526" s="96">
        <v>45107</v>
      </c>
      <c r="W526" s="94"/>
      <c r="X526" s="93"/>
      <c r="Y526" s="93"/>
      <c r="Z526" s="57"/>
      <c r="AA526" s="57"/>
      <c r="AB526" s="57"/>
      <c r="AC526" s="59"/>
    </row>
    <row r="527" spans="1:29" ht="120" x14ac:dyDescent="0.25">
      <c r="A527" s="56" t="s">
        <v>1770</v>
      </c>
      <c r="B527" s="57" t="s">
        <v>468</v>
      </c>
      <c r="C527" s="48" t="s">
        <v>1371</v>
      </c>
      <c r="D527" s="48" t="s">
        <v>1771</v>
      </c>
      <c r="E527" s="48" t="s">
        <v>108</v>
      </c>
      <c r="F527" s="57"/>
      <c r="G527" s="57"/>
      <c r="H527" s="57"/>
      <c r="I527" s="57"/>
      <c r="J527" s="59" t="s">
        <v>1372</v>
      </c>
      <c r="K527" s="59" t="s">
        <v>1372</v>
      </c>
      <c r="L527" s="59" t="s">
        <v>1372</v>
      </c>
      <c r="M527" s="59" t="s">
        <v>1372</v>
      </c>
      <c r="N527" s="59" t="s">
        <v>1372</v>
      </c>
      <c r="O527" s="59" t="s">
        <v>1372</v>
      </c>
      <c r="P527" s="57"/>
      <c r="Q527" s="57" t="s">
        <v>677</v>
      </c>
      <c r="R527" s="57" t="s">
        <v>1372</v>
      </c>
      <c r="S527" s="48" t="s">
        <v>678</v>
      </c>
      <c r="T527" s="94">
        <v>68100</v>
      </c>
      <c r="U527" s="96">
        <v>45093</v>
      </c>
      <c r="V527" s="96">
        <v>45823</v>
      </c>
      <c r="W527" s="94">
        <v>4710</v>
      </c>
      <c r="X527" s="93"/>
      <c r="Y527" s="93"/>
      <c r="Z527" s="57"/>
      <c r="AA527" s="57"/>
      <c r="AB527" s="57"/>
      <c r="AC527" s="59"/>
    </row>
    <row r="528" spans="1:29" ht="63" customHeight="1" x14ac:dyDescent="0.25">
      <c r="A528" s="56" t="s">
        <v>1772</v>
      </c>
      <c r="B528" s="57" t="s">
        <v>468</v>
      </c>
      <c r="C528" s="48" t="s">
        <v>1371</v>
      </c>
      <c r="D528" s="48" t="s">
        <v>1773</v>
      </c>
      <c r="E528" s="48" t="s">
        <v>108</v>
      </c>
      <c r="F528" s="57"/>
      <c r="G528" s="57"/>
      <c r="H528" s="57"/>
      <c r="I528" s="57"/>
      <c r="J528" s="59" t="s">
        <v>1372</v>
      </c>
      <c r="K528" s="59" t="s">
        <v>1372</v>
      </c>
      <c r="L528" s="59" t="s">
        <v>1372</v>
      </c>
      <c r="M528" s="59" t="s">
        <v>1372</v>
      </c>
      <c r="N528" s="59" t="s">
        <v>1372</v>
      </c>
      <c r="O528" s="59" t="s">
        <v>1372</v>
      </c>
      <c r="P528" s="57"/>
      <c r="Q528" s="57"/>
      <c r="R528" s="57"/>
      <c r="S528" s="48"/>
      <c r="T528" s="94"/>
      <c r="U528" s="96"/>
      <c r="V528" s="96"/>
      <c r="W528" s="94"/>
      <c r="X528" s="93"/>
      <c r="Y528" s="93"/>
      <c r="Z528" s="57"/>
      <c r="AA528" s="57"/>
      <c r="AB528" s="57"/>
      <c r="AC528" s="59"/>
    </row>
    <row r="529" spans="1:30" ht="105" x14ac:dyDescent="0.25">
      <c r="A529" s="24" t="s">
        <v>1775</v>
      </c>
      <c r="B529" s="57" t="s">
        <v>468</v>
      </c>
      <c r="C529" s="48" t="s">
        <v>1371</v>
      </c>
      <c r="D529" s="27" t="s">
        <v>1776</v>
      </c>
      <c r="E529" s="27" t="s">
        <v>63</v>
      </c>
      <c r="J529" s="22" t="s">
        <v>598</v>
      </c>
      <c r="L529" s="27" t="s">
        <v>1887</v>
      </c>
    </row>
    <row r="530" spans="1:30" ht="105" x14ac:dyDescent="0.25">
      <c r="A530" s="24" t="s">
        <v>1778</v>
      </c>
      <c r="B530" s="38" t="s">
        <v>468</v>
      </c>
      <c r="C530" s="39" t="s">
        <v>48</v>
      </c>
      <c r="D530" s="27" t="s">
        <v>1779</v>
      </c>
      <c r="E530" s="22" t="s">
        <v>50</v>
      </c>
      <c r="M530" s="27" t="s">
        <v>1780</v>
      </c>
      <c r="O530" s="39" t="s">
        <v>1781</v>
      </c>
      <c r="P530" s="39" t="s">
        <v>1782</v>
      </c>
      <c r="T530" s="13">
        <v>31824</v>
      </c>
      <c r="U530" s="23">
        <v>45100</v>
      </c>
      <c r="V530" s="23">
        <v>45200</v>
      </c>
      <c r="W530" s="13">
        <v>0</v>
      </c>
      <c r="X530" s="16"/>
      <c r="Z530" s="27"/>
    </row>
    <row r="531" spans="1:30" ht="90" x14ac:dyDescent="0.25">
      <c r="A531" s="16" t="s">
        <v>1783</v>
      </c>
      <c r="B531" s="38" t="s">
        <v>468</v>
      </c>
      <c r="C531" s="39" t="s">
        <v>48</v>
      </c>
      <c r="D531" s="27" t="s">
        <v>1784</v>
      </c>
      <c r="E531" s="27" t="s">
        <v>108</v>
      </c>
      <c r="F531" s="16"/>
      <c r="G531" s="16"/>
      <c r="H531" s="16"/>
      <c r="I531" s="16"/>
      <c r="J531" s="34" t="s">
        <v>1785</v>
      </c>
      <c r="K531" s="16"/>
      <c r="L531" s="16" t="s">
        <v>1786</v>
      </c>
      <c r="M531" s="16"/>
      <c r="P531" s="16"/>
      <c r="Q531" s="66">
        <v>941910788</v>
      </c>
      <c r="S531" s="16" t="s">
        <v>1787</v>
      </c>
      <c r="T531" s="13">
        <v>11485.39</v>
      </c>
      <c r="U531" s="25">
        <v>45104</v>
      </c>
      <c r="V531" s="25">
        <v>45138</v>
      </c>
      <c r="W531" s="16">
        <v>0</v>
      </c>
      <c r="X531" s="16"/>
      <c r="AA531" s="16"/>
      <c r="AB531" s="16"/>
      <c r="AC531" s="16"/>
    </row>
    <row r="532" spans="1:30" ht="135" x14ac:dyDescent="0.25">
      <c r="A532" s="24">
        <v>9858193637</v>
      </c>
      <c r="B532" s="38" t="s">
        <v>468</v>
      </c>
      <c r="C532" s="39" t="s">
        <v>48</v>
      </c>
      <c r="D532" s="27" t="s">
        <v>583</v>
      </c>
      <c r="E532" s="27" t="s">
        <v>164</v>
      </c>
      <c r="F532" s="16"/>
      <c r="G532" s="16"/>
      <c r="H532" s="16"/>
      <c r="I532" s="16"/>
      <c r="J532" s="35"/>
      <c r="K532" s="16"/>
      <c r="L532" s="16"/>
      <c r="M532" s="16"/>
      <c r="P532" s="16"/>
      <c r="Q532" s="66"/>
      <c r="S532" s="16"/>
      <c r="U532" s="25"/>
      <c r="V532" s="25"/>
      <c r="W532" s="16"/>
      <c r="X532" s="16"/>
      <c r="AA532" s="16"/>
      <c r="AB532" s="16"/>
      <c r="AC532" s="16"/>
    </row>
    <row r="533" spans="1:30" ht="60" x14ac:dyDescent="0.25">
      <c r="A533" s="98" t="s">
        <v>1788</v>
      </c>
      <c r="B533" s="38" t="s">
        <v>468</v>
      </c>
      <c r="C533" s="39" t="s">
        <v>48</v>
      </c>
      <c r="D533" s="27" t="s">
        <v>1789</v>
      </c>
      <c r="E533" s="99" t="s">
        <v>1297</v>
      </c>
      <c r="F533" s="16"/>
      <c r="G533" s="16"/>
      <c r="H533" s="16"/>
      <c r="I533" s="16"/>
      <c r="J533" s="35" t="s">
        <v>1790</v>
      </c>
      <c r="K533" s="16"/>
      <c r="L533" s="16" t="s">
        <v>1791</v>
      </c>
      <c r="M533" s="16"/>
      <c r="P533" s="16"/>
      <c r="Q533" s="66"/>
      <c r="S533" s="16"/>
      <c r="U533" s="25"/>
      <c r="V533" s="25"/>
      <c r="W533" s="16"/>
      <c r="X533" s="16"/>
      <c r="AA533" s="16"/>
      <c r="AB533" s="16"/>
      <c r="AC533" s="16"/>
    </row>
    <row r="534" spans="1:30" ht="105" x14ac:dyDescent="0.25">
      <c r="A534" s="100" t="s">
        <v>1793</v>
      </c>
      <c r="B534" s="38" t="s">
        <v>468</v>
      </c>
      <c r="C534" s="39" t="s">
        <v>48</v>
      </c>
      <c r="D534" s="27" t="s">
        <v>1794</v>
      </c>
      <c r="E534" s="99" t="s">
        <v>108</v>
      </c>
      <c r="F534" s="16"/>
      <c r="G534" s="16"/>
      <c r="H534" s="16"/>
      <c r="I534" s="16"/>
      <c r="J534" s="35"/>
      <c r="K534" s="16"/>
      <c r="L534" s="16"/>
      <c r="M534" s="16"/>
      <c r="P534" s="16"/>
      <c r="Q534" s="66" t="s">
        <v>1795</v>
      </c>
      <c r="S534" s="16" t="s">
        <v>1796</v>
      </c>
      <c r="U534" s="25"/>
      <c r="V534" s="25"/>
      <c r="W534" s="16">
        <f>9415.73+3988.81</f>
        <v>13404.539999999999</v>
      </c>
      <c r="X534" s="16"/>
      <c r="AA534" s="16"/>
      <c r="AB534" s="16"/>
      <c r="AC534" s="16"/>
    </row>
    <row r="535" spans="1:30" ht="45" x14ac:dyDescent="0.25">
      <c r="A535" s="100" t="s">
        <v>1797</v>
      </c>
      <c r="B535" s="38" t="s">
        <v>468</v>
      </c>
      <c r="C535" s="39" t="s">
        <v>48</v>
      </c>
      <c r="E535" s="99"/>
      <c r="F535" s="16"/>
      <c r="G535" s="16"/>
      <c r="H535" s="16"/>
      <c r="I535" s="16"/>
      <c r="J535" s="35"/>
      <c r="K535" s="16"/>
      <c r="L535" s="16"/>
      <c r="M535" s="16"/>
      <c r="P535" s="16"/>
      <c r="Q535" s="66"/>
      <c r="S535" s="16"/>
      <c r="U535" s="25"/>
      <c r="V535" s="25"/>
      <c r="W535" s="16"/>
      <c r="X535" s="16"/>
      <c r="AA535" s="16"/>
      <c r="AB535" s="16"/>
      <c r="AC535" s="16"/>
    </row>
    <row r="536" spans="1:30" ht="120" x14ac:dyDescent="0.25">
      <c r="A536" s="100" t="s">
        <v>1655</v>
      </c>
      <c r="B536" s="38" t="s">
        <v>468</v>
      </c>
      <c r="C536" s="39" t="s">
        <v>48</v>
      </c>
      <c r="D536" s="27" t="s">
        <v>1798</v>
      </c>
      <c r="E536" s="99" t="s">
        <v>50</v>
      </c>
      <c r="F536" s="16"/>
      <c r="G536" s="16"/>
      <c r="H536" s="16"/>
      <c r="I536" s="16"/>
      <c r="J536" s="35"/>
      <c r="K536" s="16"/>
      <c r="L536" s="16"/>
      <c r="M536" s="16"/>
      <c r="P536" s="16"/>
      <c r="Q536" s="24">
        <v>12878470157</v>
      </c>
      <c r="S536" s="16" t="s">
        <v>1799</v>
      </c>
      <c r="T536" s="13">
        <v>73505</v>
      </c>
      <c r="U536" s="25">
        <v>45070</v>
      </c>
      <c r="V536" s="25">
        <v>45291</v>
      </c>
      <c r="W536" s="16"/>
      <c r="X536" s="16"/>
      <c r="AA536" s="16"/>
      <c r="AB536" s="16"/>
      <c r="AC536" s="16"/>
    </row>
    <row r="537" spans="1:30" ht="75" x14ac:dyDescent="0.25">
      <c r="A537" s="16" t="s">
        <v>1800</v>
      </c>
      <c r="B537" s="38" t="s">
        <v>468</v>
      </c>
      <c r="C537" s="39" t="s">
        <v>48</v>
      </c>
      <c r="D537" s="27" t="s">
        <v>1808</v>
      </c>
      <c r="E537" s="99" t="s">
        <v>108</v>
      </c>
      <c r="F537" s="16"/>
      <c r="G537" s="16"/>
      <c r="H537" s="16"/>
      <c r="I537" s="16"/>
      <c r="J537" s="35"/>
      <c r="K537" s="16"/>
      <c r="L537" s="16"/>
      <c r="M537" s="16"/>
      <c r="P537" s="16"/>
      <c r="Q537" s="24">
        <v>4705810150</v>
      </c>
      <c r="S537" s="16" t="s">
        <v>1805</v>
      </c>
      <c r="T537" s="16">
        <v>593.26</v>
      </c>
      <c r="U537" s="25">
        <v>44934</v>
      </c>
      <c r="V537" s="25">
        <v>44982</v>
      </c>
      <c r="W537" s="16">
        <v>593.26</v>
      </c>
      <c r="X537" s="16"/>
      <c r="AA537" s="16"/>
      <c r="AB537" s="16"/>
      <c r="AC537" s="16"/>
    </row>
    <row r="538" spans="1:30" ht="75" x14ac:dyDescent="0.25">
      <c r="A538" s="16" t="s">
        <v>1801</v>
      </c>
      <c r="B538" s="38" t="s">
        <v>468</v>
      </c>
      <c r="C538" s="39" t="s">
        <v>48</v>
      </c>
      <c r="D538" s="27" t="s">
        <v>1809</v>
      </c>
      <c r="E538" s="99" t="s">
        <v>108</v>
      </c>
      <c r="F538" s="16"/>
      <c r="G538" s="16"/>
      <c r="H538" s="16"/>
      <c r="I538" s="16"/>
      <c r="J538" s="35"/>
      <c r="K538" s="16"/>
      <c r="L538" s="16"/>
      <c r="M538" s="16"/>
      <c r="P538" s="16"/>
      <c r="Q538" s="24" t="s">
        <v>1804</v>
      </c>
      <c r="S538" s="16" t="s">
        <v>1803</v>
      </c>
      <c r="T538" s="13">
        <v>600</v>
      </c>
      <c r="U538" s="25">
        <v>44934</v>
      </c>
      <c r="V538" s="25">
        <v>44982</v>
      </c>
      <c r="W538" s="13">
        <v>600</v>
      </c>
      <c r="X538" s="16"/>
      <c r="AA538" s="16"/>
      <c r="AB538" s="16"/>
      <c r="AC538" s="16"/>
    </row>
    <row r="539" spans="1:30" ht="75" x14ac:dyDescent="0.25">
      <c r="A539" s="16" t="s">
        <v>1802</v>
      </c>
      <c r="B539" s="38" t="s">
        <v>468</v>
      </c>
      <c r="C539" s="39" t="s">
        <v>48</v>
      </c>
      <c r="D539" s="27" t="s">
        <v>1810</v>
      </c>
      <c r="E539" s="99" t="s">
        <v>108</v>
      </c>
      <c r="F539" s="16"/>
      <c r="G539" s="16"/>
      <c r="H539" s="16"/>
      <c r="I539" s="16"/>
      <c r="J539" s="35"/>
      <c r="K539" s="16"/>
      <c r="L539" s="16"/>
      <c r="M539" s="16"/>
      <c r="P539" s="16"/>
      <c r="Q539" s="24">
        <v>11484370967</v>
      </c>
      <c r="S539" s="16" t="s">
        <v>1071</v>
      </c>
      <c r="T539" s="13">
        <v>250</v>
      </c>
      <c r="U539" s="25">
        <v>44934</v>
      </c>
      <c r="V539" s="25">
        <v>44982</v>
      </c>
      <c r="W539" s="13">
        <v>250</v>
      </c>
      <c r="X539" s="16"/>
      <c r="AA539" s="16"/>
      <c r="AB539" s="16"/>
      <c r="AC539" s="16"/>
    </row>
    <row r="540" spans="1:30" ht="330" x14ac:dyDescent="0.25">
      <c r="A540" s="56" t="s">
        <v>1527</v>
      </c>
      <c r="B540" s="57" t="s">
        <v>468</v>
      </c>
      <c r="C540" s="48" t="s">
        <v>1371</v>
      </c>
      <c r="D540" s="48" t="s">
        <v>1528</v>
      </c>
      <c r="E540" s="48" t="s">
        <v>658</v>
      </c>
      <c r="F540" s="48" t="s">
        <v>1857</v>
      </c>
      <c r="G540" s="57"/>
      <c r="H540" s="48" t="s">
        <v>1811</v>
      </c>
      <c r="I540" s="48" t="s">
        <v>1812</v>
      </c>
      <c r="J540" s="59">
        <v>1982240663</v>
      </c>
      <c r="K540" s="59" t="s">
        <v>1372</v>
      </c>
      <c r="L540" s="63" t="s">
        <v>1814</v>
      </c>
      <c r="M540" s="59" t="s">
        <v>1372</v>
      </c>
      <c r="N540" s="59" t="s">
        <v>1372</v>
      </c>
      <c r="O540" s="59" t="s">
        <v>1372</v>
      </c>
      <c r="P540" s="57"/>
      <c r="Q540" s="57" t="s">
        <v>1813</v>
      </c>
      <c r="R540" s="57" t="s">
        <v>1372</v>
      </c>
      <c r="S540" s="57" t="s">
        <v>1814</v>
      </c>
      <c r="T540" s="94">
        <v>110862.27</v>
      </c>
      <c r="U540" s="96">
        <v>45217</v>
      </c>
      <c r="V540" s="96"/>
      <c r="W540" s="94"/>
      <c r="Y540" s="93"/>
      <c r="Z540" s="93"/>
      <c r="AA540" s="57"/>
      <c r="AB540" s="57"/>
      <c r="AC540" s="57"/>
      <c r="AD540" s="101"/>
    </row>
    <row r="541" spans="1:30" s="27" customFormat="1" ht="105" x14ac:dyDescent="0.25">
      <c r="A541" s="102" t="s">
        <v>1815</v>
      </c>
      <c r="B541" s="48" t="s">
        <v>468</v>
      </c>
      <c r="C541" s="48" t="s">
        <v>1371</v>
      </c>
      <c r="D541" s="48" t="s">
        <v>1817</v>
      </c>
      <c r="E541" s="48" t="s">
        <v>108</v>
      </c>
      <c r="F541" s="48"/>
      <c r="G541" s="48"/>
      <c r="H541" s="48"/>
      <c r="I541" s="48"/>
      <c r="J541" s="63" t="s">
        <v>1868</v>
      </c>
      <c r="K541" s="63" t="s">
        <v>1372</v>
      </c>
      <c r="L541" s="63" t="s">
        <v>1275</v>
      </c>
      <c r="M541" s="63" t="s">
        <v>1372</v>
      </c>
      <c r="N541" s="63" t="s">
        <v>1372</v>
      </c>
      <c r="O541" s="63" t="s">
        <v>1372</v>
      </c>
      <c r="P541" s="48"/>
      <c r="Q541" s="48" t="s">
        <v>1869</v>
      </c>
      <c r="R541" s="48" t="s">
        <v>1372</v>
      </c>
      <c r="S541" s="48" t="s">
        <v>1275</v>
      </c>
      <c r="T541" s="103">
        <v>2596.6999999999998</v>
      </c>
      <c r="U541" s="104">
        <v>45127</v>
      </c>
      <c r="V541" s="104">
        <v>45137</v>
      </c>
      <c r="W541" s="103">
        <f>2964.5/122*100</f>
        <v>2429.9180327868853</v>
      </c>
      <c r="Y541" s="105"/>
      <c r="Z541" s="105"/>
      <c r="AA541" s="48"/>
      <c r="AB541" s="48"/>
      <c r="AC541" s="48"/>
      <c r="AD541" s="106"/>
    </row>
    <row r="542" spans="1:30" s="27" customFormat="1" ht="76.5" x14ac:dyDescent="0.25">
      <c r="A542" s="102" t="s">
        <v>1777</v>
      </c>
      <c r="B542" s="48" t="s">
        <v>468</v>
      </c>
      <c r="C542" s="48" t="s">
        <v>1371</v>
      </c>
      <c r="D542" s="48" t="s">
        <v>1860</v>
      </c>
      <c r="E542" s="48" t="s">
        <v>108</v>
      </c>
      <c r="F542" s="48"/>
      <c r="G542" s="48"/>
      <c r="H542" s="48"/>
      <c r="J542" s="67" t="s">
        <v>1888</v>
      </c>
      <c r="K542" s="63" t="s">
        <v>1372</v>
      </c>
      <c r="L542" s="67" t="s">
        <v>1889</v>
      </c>
      <c r="M542" s="63" t="s">
        <v>1372</v>
      </c>
      <c r="N542" s="63" t="s">
        <v>1372</v>
      </c>
      <c r="O542" s="63" t="s">
        <v>1372</v>
      </c>
      <c r="P542" s="48"/>
      <c r="Q542" s="48" t="s">
        <v>1870</v>
      </c>
      <c r="R542" s="48" t="s">
        <v>1372</v>
      </c>
      <c r="S542" s="48" t="s">
        <v>1818</v>
      </c>
      <c r="T542" s="103">
        <v>32500</v>
      </c>
      <c r="U542" s="104">
        <v>45131</v>
      </c>
      <c r="V542" s="104">
        <v>45861</v>
      </c>
      <c r="W542" s="103"/>
      <c r="Y542" s="105"/>
      <c r="Z542" s="105"/>
      <c r="AA542" s="48"/>
      <c r="AB542" s="48"/>
      <c r="AC542" s="48"/>
      <c r="AD542" s="106"/>
    </row>
    <row r="543" spans="1:30" s="27" customFormat="1" ht="120" x14ac:dyDescent="0.25">
      <c r="A543" s="102" t="s">
        <v>1816</v>
      </c>
      <c r="B543" s="48" t="s">
        <v>468</v>
      </c>
      <c r="C543" s="48" t="s">
        <v>1371</v>
      </c>
      <c r="D543" s="48" t="s">
        <v>1819</v>
      </c>
      <c r="E543" s="48" t="s">
        <v>50</v>
      </c>
      <c r="F543" s="48"/>
      <c r="G543" s="48"/>
      <c r="H543" s="48"/>
      <c r="I543" s="48"/>
      <c r="J543" s="63" t="s">
        <v>1372</v>
      </c>
      <c r="K543" s="63" t="s">
        <v>1372</v>
      </c>
      <c r="L543" s="63" t="s">
        <v>1372</v>
      </c>
      <c r="M543" s="63" t="s">
        <v>1372</v>
      </c>
      <c r="N543" s="63" t="s">
        <v>1372</v>
      </c>
      <c r="O543" s="63" t="s">
        <v>1372</v>
      </c>
      <c r="P543" s="48"/>
      <c r="Q543" s="48" t="s">
        <v>88</v>
      </c>
      <c r="R543" s="48" t="s">
        <v>1372</v>
      </c>
      <c r="S543" s="48" t="s">
        <v>1820</v>
      </c>
      <c r="T543" s="103">
        <v>54942.8</v>
      </c>
      <c r="U543" s="104">
        <v>45168</v>
      </c>
      <c r="V543" s="104">
        <v>45533</v>
      </c>
      <c r="W543" s="103">
        <v>54942.8</v>
      </c>
      <c r="Y543" s="105"/>
      <c r="Z543" s="105"/>
      <c r="AA543" s="48"/>
      <c r="AB543" s="48"/>
      <c r="AC543" s="48"/>
      <c r="AD543" s="63"/>
    </row>
    <row r="544" spans="1:30" s="27" customFormat="1" ht="132" customHeight="1" x14ac:dyDescent="0.25">
      <c r="A544" s="102" t="s">
        <v>1774</v>
      </c>
      <c r="B544" s="48" t="s">
        <v>468</v>
      </c>
      <c r="C544" s="48" t="s">
        <v>1371</v>
      </c>
      <c r="D544" s="48" t="s">
        <v>1821</v>
      </c>
      <c r="E544" s="48" t="s">
        <v>108</v>
      </c>
      <c r="F544" s="48"/>
      <c r="G544" s="48"/>
      <c r="H544" s="48"/>
      <c r="I544" s="48"/>
      <c r="J544" s="63" t="s">
        <v>1372</v>
      </c>
      <c r="K544" s="63" t="s">
        <v>1372</v>
      </c>
      <c r="L544" s="63" t="s">
        <v>1372</v>
      </c>
      <c r="M544" s="63" t="s">
        <v>1372</v>
      </c>
      <c r="N544" s="63" t="s">
        <v>1372</v>
      </c>
      <c r="O544" s="63" t="s">
        <v>1372</v>
      </c>
      <c r="P544" s="48"/>
      <c r="Q544" s="48" t="s">
        <v>1822</v>
      </c>
      <c r="R544" s="48" t="s">
        <v>1372</v>
      </c>
      <c r="S544" s="48" t="s">
        <v>1823</v>
      </c>
      <c r="T544" s="103">
        <v>53302.96</v>
      </c>
      <c r="U544" s="104">
        <v>45144</v>
      </c>
      <c r="V544" s="104">
        <v>46239</v>
      </c>
      <c r="W544" s="103"/>
      <c r="Y544" s="105"/>
      <c r="Z544" s="105"/>
      <c r="AA544" s="48"/>
      <c r="AB544" s="48"/>
      <c r="AC544" s="48"/>
      <c r="AD544" s="63"/>
    </row>
    <row r="545" spans="1:30" s="27" customFormat="1" ht="225" x14ac:dyDescent="0.25">
      <c r="A545" s="102" t="s">
        <v>1824</v>
      </c>
      <c r="B545" s="48" t="s">
        <v>468</v>
      </c>
      <c r="C545" s="48" t="s">
        <v>1371</v>
      </c>
      <c r="D545" s="48" t="s">
        <v>1830</v>
      </c>
      <c r="E545" s="48" t="s">
        <v>164</v>
      </c>
      <c r="F545" s="48"/>
      <c r="G545" s="48"/>
      <c r="H545" s="48"/>
      <c r="I545" s="48"/>
      <c r="J545" s="67" t="s">
        <v>1890</v>
      </c>
      <c r="K545" s="63" t="s">
        <v>1372</v>
      </c>
      <c r="L545" s="63" t="s">
        <v>1855</v>
      </c>
      <c r="M545" s="63" t="s">
        <v>1372</v>
      </c>
      <c r="N545" s="63" t="s">
        <v>1372</v>
      </c>
      <c r="O545" s="63" t="s">
        <v>1372</v>
      </c>
      <c r="P545" s="48"/>
      <c r="Q545" s="48" t="s">
        <v>470</v>
      </c>
      <c r="R545" s="48" t="s">
        <v>1372</v>
      </c>
      <c r="S545" s="48" t="s">
        <v>1831</v>
      </c>
      <c r="T545" s="103">
        <v>100000</v>
      </c>
      <c r="U545" s="104">
        <v>45200</v>
      </c>
      <c r="V545" s="104">
        <v>45930</v>
      </c>
      <c r="W545" s="103"/>
      <c r="Y545" s="105"/>
      <c r="Z545" s="105"/>
      <c r="AA545" s="48"/>
      <c r="AB545" s="48"/>
      <c r="AC545" s="48"/>
      <c r="AD545" s="106"/>
    </row>
    <row r="546" spans="1:30" s="27" customFormat="1" ht="45" x14ac:dyDescent="0.25">
      <c r="A546" s="102" t="s">
        <v>1825</v>
      </c>
      <c r="B546" s="48" t="s">
        <v>468</v>
      </c>
      <c r="C546" s="48" t="s">
        <v>1371</v>
      </c>
      <c r="D546" s="48" t="s">
        <v>1832</v>
      </c>
      <c r="E546" s="48" t="s">
        <v>108</v>
      </c>
      <c r="F546" s="48"/>
      <c r="G546" s="48"/>
      <c r="H546" s="48"/>
      <c r="I546" s="48"/>
      <c r="J546" s="63">
        <v>3082730262</v>
      </c>
      <c r="K546" s="63" t="s">
        <v>1372</v>
      </c>
      <c r="L546" s="63" t="s">
        <v>1854</v>
      </c>
      <c r="M546" s="63" t="s">
        <v>1372</v>
      </c>
      <c r="N546" s="63" t="s">
        <v>1372</v>
      </c>
      <c r="O546" s="63" t="s">
        <v>1372</v>
      </c>
      <c r="P546" s="48"/>
      <c r="Q546" s="63">
        <v>3082730262</v>
      </c>
      <c r="R546" s="48"/>
      <c r="S546" s="48"/>
      <c r="T546" s="103">
        <v>2598.35</v>
      </c>
      <c r="U546" s="104">
        <v>45168</v>
      </c>
      <c r="V546" s="104">
        <v>45173</v>
      </c>
      <c r="W546" s="103">
        <f>3169.29/122*100</f>
        <v>2597.7786885245901</v>
      </c>
      <c r="Y546" s="105"/>
      <c r="Z546" s="105"/>
      <c r="AA546" s="48"/>
      <c r="AB546" s="48"/>
      <c r="AC546" s="48"/>
      <c r="AD546" s="106"/>
    </row>
    <row r="547" spans="1:30" s="27" customFormat="1" ht="105" x14ac:dyDescent="0.25">
      <c r="A547" s="102" t="s">
        <v>1826</v>
      </c>
      <c r="B547" s="48" t="s">
        <v>468</v>
      </c>
      <c r="C547" s="48" t="s">
        <v>1371</v>
      </c>
      <c r="D547" s="48" t="s">
        <v>1833</v>
      </c>
      <c r="E547" s="48" t="s">
        <v>108</v>
      </c>
      <c r="F547" s="48"/>
      <c r="G547" s="48"/>
      <c r="H547" s="48"/>
      <c r="I547" s="48"/>
      <c r="J547" s="63">
        <v>5282230720</v>
      </c>
      <c r="K547" s="63" t="s">
        <v>1372</v>
      </c>
      <c r="L547" s="63" t="s">
        <v>1835</v>
      </c>
      <c r="M547" s="63" t="s">
        <v>1372</v>
      </c>
      <c r="N547" s="63" t="s">
        <v>1372</v>
      </c>
      <c r="O547" s="63" t="s">
        <v>1372</v>
      </c>
      <c r="P547" s="48"/>
      <c r="Q547" s="48" t="s">
        <v>1834</v>
      </c>
      <c r="R547" s="48" t="s">
        <v>1372</v>
      </c>
      <c r="S547" s="48" t="s">
        <v>1835</v>
      </c>
      <c r="T547" s="103">
        <v>1750</v>
      </c>
      <c r="U547" s="104">
        <v>45175</v>
      </c>
      <c r="V547" s="104">
        <v>45176</v>
      </c>
      <c r="W547" s="103">
        <v>1569.62</v>
      </c>
      <c r="Y547" s="105"/>
      <c r="Z547" s="105"/>
      <c r="AA547" s="48"/>
      <c r="AB547" s="48"/>
      <c r="AC547" s="48"/>
      <c r="AD547" s="63"/>
    </row>
    <row r="548" spans="1:30" s="27" customFormat="1" ht="60" x14ac:dyDescent="0.25">
      <c r="A548" s="102" t="s">
        <v>1827</v>
      </c>
      <c r="B548" s="48" t="s">
        <v>468</v>
      </c>
      <c r="C548" s="48" t="s">
        <v>1371</v>
      </c>
      <c r="D548" s="48" t="s">
        <v>1836</v>
      </c>
      <c r="E548" s="48" t="s">
        <v>108</v>
      </c>
      <c r="F548" s="48"/>
      <c r="G548" s="48"/>
      <c r="H548" s="48"/>
      <c r="I548" s="48"/>
      <c r="J548" s="63">
        <v>9337161005</v>
      </c>
      <c r="K548" s="63" t="s">
        <v>1372</v>
      </c>
      <c r="L548" s="63" t="s">
        <v>678</v>
      </c>
      <c r="M548" s="63" t="s">
        <v>1372</v>
      </c>
      <c r="N548" s="63" t="s">
        <v>1372</v>
      </c>
      <c r="O548" s="63" t="s">
        <v>1372</v>
      </c>
      <c r="P548" s="48"/>
      <c r="Q548" s="63">
        <v>9337161005</v>
      </c>
      <c r="R548" s="48" t="s">
        <v>1372</v>
      </c>
      <c r="S548" s="48" t="s">
        <v>678</v>
      </c>
      <c r="T548" s="103">
        <v>373</v>
      </c>
      <c r="U548" s="104">
        <v>45203</v>
      </c>
      <c r="V548" s="104">
        <v>45205</v>
      </c>
      <c r="W548" s="103"/>
      <c r="Y548" s="105"/>
      <c r="Z548" s="105"/>
      <c r="AA548" s="48"/>
      <c r="AB548" s="48"/>
      <c r="AC548" s="48"/>
      <c r="AD548" s="63"/>
    </row>
    <row r="549" spans="1:30" s="27" customFormat="1" ht="45" x14ac:dyDescent="0.25">
      <c r="A549" s="102" t="s">
        <v>1828</v>
      </c>
      <c r="B549" s="48" t="s">
        <v>468</v>
      </c>
      <c r="C549" s="48" t="s">
        <v>1371</v>
      </c>
      <c r="D549" s="48" t="s">
        <v>1837</v>
      </c>
      <c r="E549" s="48" t="s">
        <v>108</v>
      </c>
      <c r="F549" s="48"/>
      <c r="G549" s="48"/>
      <c r="H549" s="48"/>
      <c r="I549" s="48"/>
      <c r="J549" s="63" t="s">
        <v>1372</v>
      </c>
      <c r="K549" s="63" t="s">
        <v>1372</v>
      </c>
      <c r="L549" s="63" t="s">
        <v>1372</v>
      </c>
      <c r="M549" s="63" t="s">
        <v>1372</v>
      </c>
      <c r="N549" s="63" t="s">
        <v>1372</v>
      </c>
      <c r="O549" s="63" t="s">
        <v>1372</v>
      </c>
      <c r="P549" s="48"/>
      <c r="Q549" s="48" t="s">
        <v>88</v>
      </c>
      <c r="R549" s="48" t="s">
        <v>1372</v>
      </c>
      <c r="S549" s="48" t="s">
        <v>1820</v>
      </c>
      <c r="T549" s="103">
        <v>39150</v>
      </c>
      <c r="U549" s="104">
        <v>45217</v>
      </c>
      <c r="V549" s="104">
        <v>45582</v>
      </c>
      <c r="W549" s="103"/>
      <c r="Y549" s="105"/>
      <c r="Z549" s="105"/>
      <c r="AA549" s="48"/>
      <c r="AB549" s="48"/>
      <c r="AC549" s="48"/>
      <c r="AD549" s="63"/>
    </row>
    <row r="550" spans="1:30" s="27" customFormat="1" ht="150" x14ac:dyDescent="0.25">
      <c r="A550" s="102" t="s">
        <v>1829</v>
      </c>
      <c r="B550" s="48" t="s">
        <v>468</v>
      </c>
      <c r="C550" s="48" t="s">
        <v>1371</v>
      </c>
      <c r="D550" s="48" t="s">
        <v>1838</v>
      </c>
      <c r="E550" s="48" t="s">
        <v>108</v>
      </c>
      <c r="F550" s="48"/>
      <c r="G550" s="48"/>
      <c r="H550" s="48"/>
      <c r="I550" s="48"/>
      <c r="J550" s="63" t="s">
        <v>1372</v>
      </c>
      <c r="K550" s="63" t="s">
        <v>1372</v>
      </c>
      <c r="L550" s="63" t="s">
        <v>1372</v>
      </c>
      <c r="M550" s="63" t="s">
        <v>1372</v>
      </c>
      <c r="N550" s="63" t="s">
        <v>1372</v>
      </c>
      <c r="O550" s="63" t="s">
        <v>1372</v>
      </c>
      <c r="P550" s="48"/>
      <c r="Q550" s="48" t="s">
        <v>1488</v>
      </c>
      <c r="R550" s="48" t="s">
        <v>1372</v>
      </c>
      <c r="S550" s="48" t="s">
        <v>1489</v>
      </c>
      <c r="T550" s="103">
        <v>9000</v>
      </c>
      <c r="U550" s="104">
        <v>45214</v>
      </c>
      <c r="V550" s="104">
        <v>45305</v>
      </c>
      <c r="W550" s="103"/>
      <c r="Y550" s="105"/>
      <c r="Z550" s="105"/>
      <c r="AA550" s="48"/>
      <c r="AB550" s="48"/>
      <c r="AC550" s="48"/>
      <c r="AD550" s="63"/>
    </row>
    <row r="551" spans="1:30" s="27" customFormat="1" ht="60" x14ac:dyDescent="0.25">
      <c r="A551" s="102" t="s">
        <v>1839</v>
      </c>
      <c r="B551" s="48" t="s">
        <v>468</v>
      </c>
      <c r="C551" s="48" t="s">
        <v>1371</v>
      </c>
      <c r="D551" s="48" t="s">
        <v>1845</v>
      </c>
      <c r="E551" s="48" t="s">
        <v>108</v>
      </c>
      <c r="F551" s="48"/>
      <c r="G551" s="48"/>
      <c r="H551" s="48"/>
      <c r="I551" s="48"/>
      <c r="J551" s="63" t="s">
        <v>1372</v>
      </c>
      <c r="K551" s="63" t="s">
        <v>1372</v>
      </c>
      <c r="L551" s="63" t="s">
        <v>1891</v>
      </c>
      <c r="M551" s="63" t="s">
        <v>1372</v>
      </c>
      <c r="N551" s="63" t="s">
        <v>1372</v>
      </c>
      <c r="O551" s="63" t="s">
        <v>1372</v>
      </c>
      <c r="P551" s="48"/>
      <c r="Q551" s="48"/>
      <c r="R551" s="48"/>
      <c r="S551" s="48"/>
      <c r="T551" s="103"/>
      <c r="U551" s="104"/>
      <c r="V551" s="104"/>
      <c r="W551" s="103"/>
      <c r="Y551" s="105"/>
      <c r="Z551" s="105"/>
      <c r="AA551" s="48"/>
      <c r="AB551" s="48"/>
      <c r="AC551" s="48"/>
      <c r="AD551" s="106"/>
    </row>
    <row r="552" spans="1:30" s="27" customFormat="1" ht="90" x14ac:dyDescent="0.25">
      <c r="A552" s="102" t="s">
        <v>1840</v>
      </c>
      <c r="B552" s="48" t="s">
        <v>468</v>
      </c>
      <c r="C552" s="48" t="s">
        <v>1371</v>
      </c>
      <c r="D552" s="48" t="s">
        <v>1846</v>
      </c>
      <c r="E552" s="48" t="s">
        <v>108</v>
      </c>
      <c r="F552" s="48"/>
      <c r="G552" s="48"/>
      <c r="H552" s="48"/>
      <c r="I552" s="48"/>
      <c r="J552" s="63" t="s">
        <v>1372</v>
      </c>
      <c r="K552" s="63" t="s">
        <v>1372</v>
      </c>
      <c r="L552" s="63" t="s">
        <v>1372</v>
      </c>
      <c r="M552" s="63" t="s">
        <v>1372</v>
      </c>
      <c r="N552" s="63" t="s">
        <v>1372</v>
      </c>
      <c r="O552" s="63" t="s">
        <v>1372</v>
      </c>
      <c r="P552" s="48"/>
      <c r="Q552" s="48" t="s">
        <v>194</v>
      </c>
      <c r="R552" s="48" t="s">
        <v>1372</v>
      </c>
      <c r="S552" s="48" t="s">
        <v>195</v>
      </c>
      <c r="T552" s="103">
        <v>134600</v>
      </c>
      <c r="U552" s="104">
        <v>45216</v>
      </c>
      <c r="V552" s="104">
        <v>45946</v>
      </c>
      <c r="W552" s="103"/>
      <c r="Y552" s="105"/>
      <c r="Z552" s="105"/>
      <c r="AA552" s="48"/>
      <c r="AB552" s="48"/>
      <c r="AC552" s="48"/>
      <c r="AD552" s="106"/>
    </row>
    <row r="553" spans="1:30" s="27" customFormat="1" ht="45" x14ac:dyDescent="0.25">
      <c r="A553" s="102" t="s">
        <v>1841</v>
      </c>
      <c r="B553" s="48" t="s">
        <v>468</v>
      </c>
      <c r="C553" s="48" t="s">
        <v>1371</v>
      </c>
      <c r="D553" s="48" t="s">
        <v>1847</v>
      </c>
      <c r="E553" s="48" t="s">
        <v>108</v>
      </c>
      <c r="F553" s="48"/>
      <c r="G553" s="48"/>
      <c r="H553" s="48"/>
      <c r="I553" s="48"/>
      <c r="J553" s="63" t="s">
        <v>1372</v>
      </c>
      <c r="K553" s="63" t="s">
        <v>1372</v>
      </c>
      <c r="L553" s="63" t="s">
        <v>1372</v>
      </c>
      <c r="M553" s="63" t="s">
        <v>1372</v>
      </c>
      <c r="N553" s="63" t="s">
        <v>1372</v>
      </c>
      <c r="O553" s="63" t="s">
        <v>1372</v>
      </c>
      <c r="P553" s="48"/>
      <c r="Q553" s="48" t="s">
        <v>1483</v>
      </c>
      <c r="R553" s="48"/>
      <c r="S553" s="48" t="s">
        <v>1894</v>
      </c>
      <c r="T553" s="103">
        <v>695</v>
      </c>
      <c r="U553" s="104">
        <v>45209</v>
      </c>
      <c r="V553" s="104">
        <v>45575</v>
      </c>
      <c r="W553" s="103"/>
      <c r="Y553" s="105"/>
      <c r="Z553" s="105"/>
      <c r="AA553" s="48"/>
      <c r="AB553" s="48"/>
      <c r="AC553" s="48"/>
      <c r="AD553" s="63"/>
    </row>
    <row r="554" spans="1:30" s="27" customFormat="1" ht="45" x14ac:dyDescent="0.25">
      <c r="A554" s="102" t="s">
        <v>1842</v>
      </c>
      <c r="B554" s="48" t="s">
        <v>468</v>
      </c>
      <c r="C554" s="48" t="s">
        <v>1371</v>
      </c>
      <c r="D554" s="48" t="s">
        <v>1848</v>
      </c>
      <c r="E554" s="48" t="s">
        <v>108</v>
      </c>
      <c r="F554" s="48"/>
      <c r="G554" s="48"/>
      <c r="H554" s="48"/>
      <c r="I554" s="48"/>
      <c r="J554" s="63" t="s">
        <v>1372</v>
      </c>
      <c r="K554" s="63" t="s">
        <v>1372</v>
      </c>
      <c r="L554" s="63" t="s">
        <v>1372</v>
      </c>
      <c r="M554" s="63" t="s">
        <v>1372</v>
      </c>
      <c r="N554" s="63" t="s">
        <v>1372</v>
      </c>
      <c r="O554" s="63" t="s">
        <v>1372</v>
      </c>
      <c r="P554" s="48"/>
      <c r="Q554" s="48" t="s">
        <v>1895</v>
      </c>
      <c r="R554" s="48"/>
      <c r="S554" s="48" t="s">
        <v>1896</v>
      </c>
      <c r="T554" s="103">
        <v>50000</v>
      </c>
      <c r="U554" s="104">
        <v>45139</v>
      </c>
      <c r="V554" s="104">
        <v>45869</v>
      </c>
      <c r="W554" s="103"/>
      <c r="Y554" s="105"/>
      <c r="Z554" s="105"/>
      <c r="AA554" s="48"/>
      <c r="AB554" s="48"/>
      <c r="AC554" s="48"/>
      <c r="AD554" s="63"/>
    </row>
    <row r="555" spans="1:30" s="27" customFormat="1" ht="45" x14ac:dyDescent="0.25">
      <c r="A555" s="102"/>
      <c r="B555" s="48" t="s">
        <v>468</v>
      </c>
      <c r="C555" s="48" t="s">
        <v>1371</v>
      </c>
      <c r="D555" s="48" t="s">
        <v>1849</v>
      </c>
      <c r="E555" s="48" t="s">
        <v>108</v>
      </c>
      <c r="F555" s="48"/>
      <c r="G555" s="48"/>
      <c r="H555" s="48"/>
      <c r="I555" s="48"/>
      <c r="J555" s="63" t="s">
        <v>1372</v>
      </c>
      <c r="K555" s="63" t="s">
        <v>1372</v>
      </c>
      <c r="L555" s="63" t="s">
        <v>1372</v>
      </c>
      <c r="M555" s="63" t="s">
        <v>1372</v>
      </c>
      <c r="N555" s="63" t="s">
        <v>1372</v>
      </c>
      <c r="O555" s="63" t="s">
        <v>1372</v>
      </c>
      <c r="P555" s="48"/>
      <c r="Q555" s="48"/>
      <c r="R555" s="48"/>
      <c r="S555" s="48" t="s">
        <v>1897</v>
      </c>
      <c r="T555" s="103">
        <v>671.39</v>
      </c>
      <c r="U555" s="104">
        <v>45139</v>
      </c>
      <c r="V555" s="104">
        <v>45504</v>
      </c>
      <c r="W555" s="103"/>
      <c r="Y555" s="105"/>
      <c r="Z555" s="105"/>
      <c r="AA555" s="48"/>
      <c r="AB555" s="48"/>
      <c r="AC555" s="48"/>
      <c r="AD555" s="63"/>
    </row>
    <row r="556" spans="1:30" s="27" customFormat="1" ht="45" x14ac:dyDescent="0.25">
      <c r="A556" s="102" t="s">
        <v>1843</v>
      </c>
      <c r="B556" s="48" t="s">
        <v>468</v>
      </c>
      <c r="C556" s="48" t="s">
        <v>1371</v>
      </c>
      <c r="D556" s="48" t="s">
        <v>1850</v>
      </c>
      <c r="E556" s="48" t="s">
        <v>108</v>
      </c>
      <c r="F556" s="48"/>
      <c r="G556" s="48"/>
      <c r="H556" s="48"/>
      <c r="I556" s="48"/>
      <c r="J556" s="63" t="s">
        <v>1372</v>
      </c>
      <c r="K556" s="63" t="s">
        <v>1372</v>
      </c>
      <c r="L556" s="63" t="s">
        <v>1372</v>
      </c>
      <c r="M556" s="63" t="s">
        <v>1372</v>
      </c>
      <c r="N556" s="63" t="s">
        <v>1372</v>
      </c>
      <c r="O556" s="63" t="s">
        <v>1372</v>
      </c>
      <c r="P556" s="48"/>
      <c r="Q556" s="48"/>
      <c r="R556" s="48"/>
      <c r="S556" s="48" t="s">
        <v>1901</v>
      </c>
      <c r="T556" s="103">
        <v>1426.8</v>
      </c>
      <c r="U556" s="104">
        <v>44927</v>
      </c>
      <c r="V556" s="104">
        <v>45292</v>
      </c>
      <c r="W556" s="103"/>
      <c r="Y556" s="105"/>
      <c r="Z556" s="105"/>
      <c r="AA556" s="48"/>
      <c r="AB556" s="48"/>
      <c r="AC556" s="48"/>
      <c r="AD556" s="63"/>
    </row>
    <row r="557" spans="1:30" s="27" customFormat="1" ht="45" x14ac:dyDescent="0.25">
      <c r="A557" s="102" t="s">
        <v>1858</v>
      </c>
      <c r="B557" s="48" t="s">
        <v>468</v>
      </c>
      <c r="C557" s="48" t="s">
        <v>1371</v>
      </c>
      <c r="D557" s="48" t="s">
        <v>1851</v>
      </c>
      <c r="E557" s="48" t="s">
        <v>108</v>
      </c>
      <c r="F557" s="48"/>
      <c r="G557" s="48"/>
      <c r="H557" s="48"/>
      <c r="I557" s="48"/>
      <c r="J557" s="63" t="s">
        <v>1372</v>
      </c>
      <c r="K557" s="63" t="s">
        <v>1372</v>
      </c>
      <c r="L557" s="63" t="s">
        <v>1372</v>
      </c>
      <c r="M557" s="63" t="s">
        <v>1372</v>
      </c>
      <c r="N557" s="63" t="s">
        <v>1372</v>
      </c>
      <c r="O557" s="63" t="s">
        <v>1372</v>
      </c>
      <c r="P557" s="48"/>
      <c r="Q557" s="48" t="s">
        <v>498</v>
      </c>
      <c r="R557" s="48"/>
      <c r="S557" s="48" t="s">
        <v>1898</v>
      </c>
      <c r="T557" s="103">
        <v>12200</v>
      </c>
      <c r="U557" s="104">
        <v>45096</v>
      </c>
      <c r="V557" s="104">
        <v>45462</v>
      </c>
      <c r="W557" s="103"/>
      <c r="Y557" s="105"/>
      <c r="Z557" s="105"/>
      <c r="AA557" s="48"/>
      <c r="AB557" s="48"/>
      <c r="AC557" s="48"/>
      <c r="AD557" s="63"/>
    </row>
    <row r="558" spans="1:30" s="27" customFormat="1" ht="45" x14ac:dyDescent="0.25">
      <c r="A558" s="102" t="s">
        <v>1859</v>
      </c>
      <c r="B558" s="48" t="s">
        <v>468</v>
      </c>
      <c r="C558" s="48" t="s">
        <v>1371</v>
      </c>
      <c r="D558" s="48" t="s">
        <v>1851</v>
      </c>
      <c r="E558" s="48" t="s">
        <v>108</v>
      </c>
      <c r="F558" s="48"/>
      <c r="G558" s="48"/>
      <c r="H558" s="48"/>
      <c r="I558" s="48"/>
      <c r="J558" s="63" t="s">
        <v>1372</v>
      </c>
      <c r="K558" s="63" t="s">
        <v>1372</v>
      </c>
      <c r="L558" s="63" t="s">
        <v>1372</v>
      </c>
      <c r="M558" s="63" t="s">
        <v>1372</v>
      </c>
      <c r="N558" s="63" t="s">
        <v>1372</v>
      </c>
      <c r="O558" s="63" t="s">
        <v>1372</v>
      </c>
      <c r="P558" s="48"/>
      <c r="Q558" s="48" t="s">
        <v>1900</v>
      </c>
      <c r="R558" s="48"/>
      <c r="S558" s="48" t="s">
        <v>1899</v>
      </c>
      <c r="T558" s="103">
        <v>11200</v>
      </c>
      <c r="U558" s="104">
        <v>45096</v>
      </c>
      <c r="V558" s="104">
        <v>45462</v>
      </c>
      <c r="W558" s="103">
        <f>491.8+1147.54+1704.92</f>
        <v>3344.26</v>
      </c>
      <c r="Y558" s="105"/>
      <c r="Z558" s="105"/>
      <c r="AA558" s="48"/>
      <c r="AB558" s="48"/>
      <c r="AC558" s="48"/>
      <c r="AD558" s="63"/>
    </row>
    <row r="559" spans="1:30" s="27" customFormat="1" ht="73.5" customHeight="1" x14ac:dyDescent="0.25">
      <c r="A559" s="102" t="s">
        <v>1844</v>
      </c>
      <c r="B559" s="48" t="s">
        <v>468</v>
      </c>
      <c r="C559" s="48" t="s">
        <v>1371</v>
      </c>
      <c r="D559" s="48" t="s">
        <v>1852</v>
      </c>
      <c r="E559" s="48" t="s">
        <v>108</v>
      </c>
      <c r="F559" s="48"/>
      <c r="G559" s="48"/>
      <c r="H559" s="48"/>
      <c r="I559" s="48"/>
      <c r="J559" s="67" t="s">
        <v>1892</v>
      </c>
      <c r="K559" s="63" t="s">
        <v>1372</v>
      </c>
      <c r="L559" s="67" t="s">
        <v>1893</v>
      </c>
      <c r="M559" s="63" t="s">
        <v>1372</v>
      </c>
      <c r="N559" s="63" t="s">
        <v>1372</v>
      </c>
      <c r="O559" s="63" t="s">
        <v>1372</v>
      </c>
      <c r="P559" s="48"/>
      <c r="Q559" s="48" t="s">
        <v>1865</v>
      </c>
      <c r="R559" s="48" t="s">
        <v>1372</v>
      </c>
      <c r="S559" s="48" t="s">
        <v>1853</v>
      </c>
      <c r="T559" s="103">
        <v>135003.32999999999</v>
      </c>
      <c r="U559" s="104">
        <v>45212</v>
      </c>
      <c r="V559" s="104">
        <v>45942</v>
      </c>
      <c r="W559" s="103"/>
      <c r="Y559" s="105"/>
      <c r="Z559" s="105"/>
      <c r="AA559" s="48"/>
      <c r="AB559" s="48"/>
      <c r="AC559" s="48"/>
      <c r="AD559" s="63"/>
    </row>
    <row r="560" spans="1:30" ht="75" x14ac:dyDescent="0.25">
      <c r="A560" s="24" t="s">
        <v>1861</v>
      </c>
      <c r="B560" s="48" t="s">
        <v>468</v>
      </c>
      <c r="C560" s="48" t="s">
        <v>1371</v>
      </c>
      <c r="D560" s="27" t="s">
        <v>1879</v>
      </c>
      <c r="E560" s="27" t="s">
        <v>1873</v>
      </c>
      <c r="J560" s="16"/>
      <c r="L560" s="37" t="s">
        <v>1866</v>
      </c>
      <c r="Q560" s="22"/>
      <c r="T560" s="13">
        <v>39000</v>
      </c>
    </row>
    <row r="561" spans="1:29" ht="90" x14ac:dyDescent="0.25">
      <c r="A561" s="24" t="s">
        <v>1862</v>
      </c>
      <c r="B561" s="48" t="s">
        <v>468</v>
      </c>
      <c r="C561" s="48" t="s">
        <v>1371</v>
      </c>
      <c r="D561" s="27" t="s">
        <v>1878</v>
      </c>
      <c r="E561" s="27" t="s">
        <v>1873</v>
      </c>
      <c r="J561" s="22" t="s">
        <v>488</v>
      </c>
      <c r="L561" s="27" t="s">
        <v>1001</v>
      </c>
    </row>
    <row r="562" spans="1:29" ht="93.75" customHeight="1" x14ac:dyDescent="0.25">
      <c r="A562" s="24" t="s">
        <v>1863</v>
      </c>
      <c r="B562" s="48" t="s">
        <v>468</v>
      </c>
      <c r="C562" s="48" t="s">
        <v>1371</v>
      </c>
      <c r="D562" s="27" t="s">
        <v>1864</v>
      </c>
      <c r="E562" s="27" t="s">
        <v>1873</v>
      </c>
      <c r="J562" s="22" t="s">
        <v>1405</v>
      </c>
      <c r="L562" s="27" t="s">
        <v>1867</v>
      </c>
      <c r="Q562" s="22" t="s">
        <v>1405</v>
      </c>
      <c r="S562" s="27" t="s">
        <v>1867</v>
      </c>
      <c r="T562" s="13">
        <v>49771.8</v>
      </c>
      <c r="U562" s="23">
        <v>45292</v>
      </c>
      <c r="V562" s="23">
        <v>45657</v>
      </c>
    </row>
    <row r="563" spans="1:29" ht="90" x14ac:dyDescent="0.25">
      <c r="A563" s="24" t="s">
        <v>1871</v>
      </c>
      <c r="B563" s="48" t="s">
        <v>468</v>
      </c>
      <c r="C563" s="48" t="s">
        <v>1371</v>
      </c>
      <c r="D563" s="27" t="s">
        <v>1872</v>
      </c>
      <c r="E563" s="27" t="s">
        <v>108</v>
      </c>
      <c r="J563" s="67" t="s">
        <v>1874</v>
      </c>
      <c r="L563" s="67" t="s">
        <v>1875</v>
      </c>
      <c r="Q563" s="21" t="s">
        <v>1876</v>
      </c>
      <c r="S563" s="27" t="s">
        <v>1877</v>
      </c>
      <c r="T563" s="13">
        <v>65800</v>
      </c>
      <c r="U563" s="23">
        <v>45230</v>
      </c>
      <c r="V563" s="23">
        <v>45565</v>
      </c>
      <c r="AA563" s="48"/>
    </row>
    <row r="564" spans="1:29" ht="60" x14ac:dyDescent="0.25">
      <c r="A564" s="24" t="s">
        <v>1880</v>
      </c>
      <c r="B564" s="48" t="s">
        <v>468</v>
      </c>
      <c r="C564" s="27" t="s">
        <v>1371</v>
      </c>
      <c r="D564" s="27" t="s">
        <v>1403</v>
      </c>
      <c r="E564" s="27" t="s">
        <v>1873</v>
      </c>
      <c r="J564" s="22" t="s">
        <v>832</v>
      </c>
      <c r="L564" s="27" t="s">
        <v>993</v>
      </c>
      <c r="Q564" s="22" t="s">
        <v>832</v>
      </c>
      <c r="S564" s="27" t="s">
        <v>993</v>
      </c>
      <c r="T564" s="13">
        <v>10600</v>
      </c>
      <c r="U564" s="23">
        <v>45292</v>
      </c>
      <c r="V564" s="23">
        <v>45657</v>
      </c>
    </row>
    <row r="565" spans="1:29" ht="60" x14ac:dyDescent="0.25">
      <c r="A565" s="24" t="s">
        <v>1881</v>
      </c>
      <c r="B565" s="48" t="s">
        <v>468</v>
      </c>
      <c r="C565" s="27" t="s">
        <v>1371</v>
      </c>
      <c r="D565" s="27" t="s">
        <v>1402</v>
      </c>
      <c r="E565" s="27" t="s">
        <v>1873</v>
      </c>
      <c r="J565" s="22" t="s">
        <v>832</v>
      </c>
      <c r="L565" s="27" t="s">
        <v>993</v>
      </c>
      <c r="Q565" s="22" t="s">
        <v>832</v>
      </c>
      <c r="S565" s="27" t="s">
        <v>993</v>
      </c>
      <c r="T565" s="13">
        <v>39000</v>
      </c>
      <c r="U565" s="23">
        <v>45292</v>
      </c>
      <c r="V565" s="23">
        <v>45657</v>
      </c>
    </row>
    <row r="566" spans="1:29" ht="45" x14ac:dyDescent="0.25">
      <c r="A566" s="24" t="s">
        <v>1882</v>
      </c>
      <c r="B566" s="48" t="s">
        <v>468</v>
      </c>
      <c r="C566" s="27" t="s">
        <v>1371</v>
      </c>
      <c r="D566" s="27" t="s">
        <v>1399</v>
      </c>
      <c r="E566" s="27" t="s">
        <v>1873</v>
      </c>
      <c r="J566" s="22" t="s">
        <v>1883</v>
      </c>
      <c r="L566" s="22" t="s">
        <v>1018</v>
      </c>
      <c r="Q566" s="22" t="s">
        <v>1883</v>
      </c>
      <c r="S566" s="22" t="s">
        <v>1018</v>
      </c>
      <c r="T566" s="13">
        <v>12000</v>
      </c>
      <c r="U566" s="23">
        <v>45292</v>
      </c>
      <c r="V566" s="23">
        <v>45657</v>
      </c>
    </row>
    <row r="567" spans="1:29" ht="45" x14ac:dyDescent="0.25">
      <c r="A567" s="24" t="s">
        <v>1886</v>
      </c>
      <c r="B567" s="48" t="s">
        <v>468</v>
      </c>
      <c r="C567" s="27" t="s">
        <v>1371</v>
      </c>
      <c r="D567" s="27" t="s">
        <v>1400</v>
      </c>
      <c r="E567" s="27" t="s">
        <v>1873</v>
      </c>
      <c r="J567" s="21" t="s">
        <v>1885</v>
      </c>
      <c r="L567" s="27" t="s">
        <v>1884</v>
      </c>
      <c r="Q567" s="21" t="s">
        <v>1885</v>
      </c>
      <c r="S567" s="27" t="s">
        <v>1884</v>
      </c>
      <c r="T567" s="13">
        <v>5500</v>
      </c>
      <c r="U567" s="23">
        <v>45292</v>
      </c>
      <c r="V567" s="23">
        <v>45292</v>
      </c>
    </row>
    <row r="568" spans="1:29" ht="105" x14ac:dyDescent="0.25">
      <c r="A568" s="24" t="s">
        <v>1778</v>
      </c>
      <c r="B568" s="38" t="s">
        <v>468</v>
      </c>
      <c r="C568" s="39" t="s">
        <v>48</v>
      </c>
      <c r="D568" s="27" t="s">
        <v>1779</v>
      </c>
      <c r="E568" s="22" t="s">
        <v>50</v>
      </c>
      <c r="M568" s="27" t="s">
        <v>1780</v>
      </c>
      <c r="O568" s="39" t="s">
        <v>1781</v>
      </c>
      <c r="P568" s="39" t="s">
        <v>1782</v>
      </c>
      <c r="T568" s="13">
        <v>31824</v>
      </c>
      <c r="U568" s="23">
        <v>45100</v>
      </c>
      <c r="V568" s="23">
        <v>45200</v>
      </c>
      <c r="W568" s="13">
        <v>0</v>
      </c>
      <c r="X568" s="16"/>
      <c r="Z568" s="27"/>
    </row>
    <row r="569" spans="1:29" ht="90" x14ac:dyDescent="0.25">
      <c r="A569" s="24" t="s">
        <v>1783</v>
      </c>
      <c r="B569" s="38" t="s">
        <v>468</v>
      </c>
      <c r="C569" s="39" t="s">
        <v>48</v>
      </c>
      <c r="D569" s="27" t="s">
        <v>1784</v>
      </c>
      <c r="E569" s="27" t="s">
        <v>108</v>
      </c>
      <c r="F569" s="16"/>
      <c r="G569" s="16"/>
      <c r="H569" s="16"/>
      <c r="I569" s="16"/>
      <c r="J569" s="34" t="s">
        <v>1785</v>
      </c>
      <c r="K569" s="16"/>
      <c r="L569" s="16" t="s">
        <v>1786</v>
      </c>
      <c r="M569" s="16"/>
      <c r="P569" s="16"/>
      <c r="Q569" s="66">
        <v>941910788</v>
      </c>
      <c r="S569" s="16" t="s">
        <v>1787</v>
      </c>
      <c r="T569" s="13">
        <v>11485.39</v>
      </c>
      <c r="U569" s="25">
        <v>45104</v>
      </c>
      <c r="V569" s="25">
        <v>45138</v>
      </c>
      <c r="W569" s="16">
        <v>0</v>
      </c>
      <c r="X569" s="16"/>
      <c r="AA569" s="16"/>
      <c r="AB569" s="16"/>
      <c r="AC569" s="16"/>
    </row>
    <row r="570" spans="1:29" ht="135" x14ac:dyDescent="0.25">
      <c r="A570" s="24">
        <v>9858193637</v>
      </c>
      <c r="B570" s="38" t="s">
        <v>468</v>
      </c>
      <c r="C570" s="39" t="s">
        <v>48</v>
      </c>
      <c r="D570" s="27" t="s">
        <v>583</v>
      </c>
      <c r="E570" s="27" t="s">
        <v>164</v>
      </c>
      <c r="F570" s="16"/>
      <c r="G570" s="16"/>
      <c r="H570" s="16"/>
      <c r="I570" s="16"/>
      <c r="J570" s="35"/>
      <c r="K570" s="16"/>
      <c r="L570" s="16"/>
      <c r="M570" s="16"/>
      <c r="P570" s="16"/>
      <c r="Q570" s="66"/>
      <c r="S570" s="16"/>
      <c r="U570" s="25"/>
      <c r="V570" s="25"/>
      <c r="W570" s="16"/>
      <c r="X570" s="16"/>
      <c r="AA570" s="16"/>
      <c r="AB570" s="16"/>
      <c r="AC570" s="16"/>
    </row>
    <row r="571" spans="1:29" ht="60" x14ac:dyDescent="0.25">
      <c r="A571" s="107" t="s">
        <v>1788</v>
      </c>
      <c r="B571" s="38" t="s">
        <v>468</v>
      </c>
      <c r="C571" s="39" t="s">
        <v>48</v>
      </c>
      <c r="D571" s="27" t="s">
        <v>1789</v>
      </c>
      <c r="E571" s="99" t="s">
        <v>1297</v>
      </c>
      <c r="F571" s="16"/>
      <c r="G571" s="16"/>
      <c r="H571" s="16"/>
      <c r="I571" s="16"/>
      <c r="J571" s="36" t="s">
        <v>1790</v>
      </c>
      <c r="K571" s="16"/>
      <c r="L571" s="16" t="s">
        <v>1791</v>
      </c>
      <c r="M571" s="16"/>
      <c r="P571" s="16"/>
      <c r="Q571" s="65" t="s">
        <v>1149</v>
      </c>
      <c r="S571" s="16" t="s">
        <v>1902</v>
      </c>
      <c r="T571" s="13">
        <v>588960</v>
      </c>
      <c r="U571" s="25">
        <v>45261</v>
      </c>
      <c r="V571" s="25">
        <v>46356</v>
      </c>
      <c r="W571" s="16"/>
      <c r="X571" s="16"/>
      <c r="AA571" s="16"/>
      <c r="AB571" s="108"/>
      <c r="AC571" s="16"/>
    </row>
    <row r="572" spans="1:29" ht="90" x14ac:dyDescent="0.25">
      <c r="A572" s="24" t="s">
        <v>1903</v>
      </c>
      <c r="B572" s="38" t="s">
        <v>468</v>
      </c>
      <c r="C572" s="39" t="s">
        <v>48</v>
      </c>
      <c r="D572" s="27" t="s">
        <v>1904</v>
      </c>
      <c r="E572" s="27" t="s">
        <v>108</v>
      </c>
      <c r="F572" s="16"/>
      <c r="G572" s="16"/>
      <c r="H572" s="16"/>
      <c r="I572" s="16"/>
      <c r="J572" s="36" t="s">
        <v>1905</v>
      </c>
      <c r="K572" s="16"/>
      <c r="L572" s="27" t="s">
        <v>1906</v>
      </c>
      <c r="M572" s="98"/>
      <c r="P572" s="16"/>
      <c r="Q572" s="98" t="s">
        <v>1907</v>
      </c>
      <c r="S572" s="16" t="s">
        <v>1908</v>
      </c>
      <c r="T572" s="13">
        <v>68474</v>
      </c>
      <c r="U572" s="25">
        <v>45175</v>
      </c>
      <c r="V572" s="25">
        <v>45235</v>
      </c>
      <c r="W572" s="16">
        <v>0</v>
      </c>
      <c r="X572" s="16"/>
      <c r="AA572" s="16"/>
      <c r="AB572" s="16"/>
      <c r="AC572" s="16"/>
    </row>
    <row r="573" spans="1:29" ht="90" x14ac:dyDescent="0.25">
      <c r="A573" s="24" t="s">
        <v>1909</v>
      </c>
      <c r="B573" s="38" t="s">
        <v>468</v>
      </c>
      <c r="C573" s="39" t="s">
        <v>48</v>
      </c>
      <c r="D573" s="27" t="s">
        <v>1910</v>
      </c>
      <c r="E573" s="27" t="s">
        <v>108</v>
      </c>
      <c r="F573" s="16"/>
      <c r="G573" s="16"/>
      <c r="H573" s="16"/>
      <c r="I573" s="16"/>
      <c r="J573" s="35" t="s">
        <v>793</v>
      </c>
      <c r="K573" s="16"/>
      <c r="L573" s="16" t="s">
        <v>1365</v>
      </c>
      <c r="M573" s="16"/>
      <c r="P573" s="16"/>
      <c r="Q573" s="35" t="s">
        <v>793</v>
      </c>
      <c r="S573" s="16" t="s">
        <v>1365</v>
      </c>
      <c r="T573" s="13">
        <v>14500</v>
      </c>
      <c r="U573" s="25">
        <v>45200</v>
      </c>
      <c r="V573" s="25">
        <v>45322</v>
      </c>
      <c r="W573" s="16">
        <v>0</v>
      </c>
      <c r="X573" s="16"/>
      <c r="AA573" s="16"/>
      <c r="AB573" s="16"/>
      <c r="AC573" s="16"/>
    </row>
    <row r="574" spans="1:29" ht="75" x14ac:dyDescent="0.25">
      <c r="A574" s="68" t="s">
        <v>1911</v>
      </c>
      <c r="B574" s="69">
        <v>80204250585</v>
      </c>
      <c r="C574" s="70" t="s">
        <v>48</v>
      </c>
      <c r="D574" s="70" t="s">
        <v>1912</v>
      </c>
      <c r="E574" s="70" t="s">
        <v>108</v>
      </c>
      <c r="F574" s="69"/>
      <c r="G574" s="69"/>
      <c r="H574" s="69"/>
      <c r="I574" s="69"/>
      <c r="J574" s="22" t="s">
        <v>1153</v>
      </c>
      <c r="K574" s="69"/>
      <c r="L574" s="27" t="s">
        <v>1154</v>
      </c>
      <c r="M574" s="69"/>
      <c r="N574" s="69"/>
      <c r="O574" s="69"/>
      <c r="P574" s="69"/>
      <c r="Q574" s="22" t="s">
        <v>1153</v>
      </c>
      <c r="R574" s="27"/>
      <c r="S574" s="27" t="s">
        <v>1154</v>
      </c>
      <c r="T574" s="17">
        <v>15000</v>
      </c>
      <c r="U574" s="71">
        <v>45243</v>
      </c>
      <c r="V574" s="71">
        <v>45973</v>
      </c>
      <c r="W574" s="17">
        <v>0</v>
      </c>
      <c r="X574" s="43"/>
      <c r="Y574" s="43"/>
      <c r="Z574" s="27"/>
      <c r="AA574" s="108"/>
      <c r="AB574" s="108"/>
    </row>
    <row r="575" spans="1:29" ht="45" x14ac:dyDescent="0.25">
      <c r="A575" s="68" t="s">
        <v>2587</v>
      </c>
      <c r="B575" s="69">
        <v>80204250585</v>
      </c>
      <c r="C575" s="70" t="s">
        <v>48</v>
      </c>
      <c r="D575" s="70" t="s">
        <v>2591</v>
      </c>
      <c r="E575" s="70" t="s">
        <v>108</v>
      </c>
      <c r="F575" s="69"/>
      <c r="G575" s="69"/>
      <c r="H575" s="69"/>
      <c r="I575" s="69"/>
      <c r="J575" s="22" t="s">
        <v>1636</v>
      </c>
      <c r="K575" s="69"/>
      <c r="L575" s="27" t="s">
        <v>2592</v>
      </c>
      <c r="M575" s="69"/>
      <c r="N575" s="69"/>
      <c r="O575" s="69"/>
      <c r="P575" s="69"/>
      <c r="Q575" s="22" t="s">
        <v>1636</v>
      </c>
      <c r="R575" s="27"/>
      <c r="S575" s="27" t="s">
        <v>2592</v>
      </c>
      <c r="T575" s="17">
        <v>803.42</v>
      </c>
      <c r="U575" s="71">
        <v>45100</v>
      </c>
      <c r="V575" s="71">
        <v>45103</v>
      </c>
      <c r="W575" s="17">
        <v>803.42</v>
      </c>
      <c r="X575" s="43"/>
      <c r="Y575" s="43"/>
      <c r="Z575" s="27"/>
      <c r="AA575" s="108"/>
      <c r="AB575" s="108"/>
    </row>
    <row r="576" spans="1:29" ht="60" x14ac:dyDescent="0.25">
      <c r="A576" s="68" t="s">
        <v>2588</v>
      </c>
      <c r="B576" s="69">
        <v>80204250585</v>
      </c>
      <c r="C576" s="70" t="s">
        <v>48</v>
      </c>
      <c r="D576" s="70" t="s">
        <v>2589</v>
      </c>
      <c r="E576" s="70" t="s">
        <v>108</v>
      </c>
      <c r="F576" s="69"/>
      <c r="G576" s="69"/>
      <c r="H576" s="69"/>
      <c r="I576" s="69"/>
      <c r="J576" s="22" t="s">
        <v>1997</v>
      </c>
      <c r="K576" s="69"/>
      <c r="L576" s="27" t="s">
        <v>2590</v>
      </c>
      <c r="M576" s="69"/>
      <c r="N576" s="69"/>
      <c r="O576" s="21"/>
      <c r="P576" s="69"/>
      <c r="Q576" s="22" t="s">
        <v>1997</v>
      </c>
      <c r="R576" s="27"/>
      <c r="S576" s="27" t="s">
        <v>2590</v>
      </c>
      <c r="T576" s="17">
        <v>30000</v>
      </c>
      <c r="U576" s="71">
        <v>45007</v>
      </c>
      <c r="V576" s="71">
        <v>45737</v>
      </c>
      <c r="W576" s="17">
        <f>4*450.25</f>
        <v>1801</v>
      </c>
      <c r="X576" s="43"/>
      <c r="Y576" s="43"/>
      <c r="Z576" s="27"/>
      <c r="AA576" s="108"/>
      <c r="AB576" s="108"/>
    </row>
    <row r="577" spans="1:30" ht="45" x14ac:dyDescent="0.25">
      <c r="A577" s="72" t="s">
        <v>2593</v>
      </c>
      <c r="B577" s="69">
        <v>80204250585</v>
      </c>
      <c r="C577" s="70" t="s">
        <v>48</v>
      </c>
      <c r="D577" s="70" t="s">
        <v>2594</v>
      </c>
      <c r="E577" s="70" t="s">
        <v>108</v>
      </c>
      <c r="F577" s="69"/>
      <c r="G577" s="69"/>
      <c r="H577" s="69"/>
      <c r="I577" s="69"/>
      <c r="J577" s="22" t="s">
        <v>1264</v>
      </c>
      <c r="K577" s="69"/>
      <c r="L577" s="27" t="s">
        <v>1226</v>
      </c>
      <c r="M577" s="69"/>
      <c r="N577" s="69"/>
      <c r="O577" s="21"/>
      <c r="P577" s="69"/>
      <c r="Q577" s="22" t="s">
        <v>1264</v>
      </c>
      <c r="R577" s="27"/>
      <c r="S577" s="27" t="s">
        <v>1226</v>
      </c>
      <c r="T577" s="17">
        <v>629000</v>
      </c>
      <c r="U577" s="71">
        <v>44711</v>
      </c>
      <c r="V577" s="71">
        <v>45442</v>
      </c>
      <c r="W577" s="17">
        <v>6810.54</v>
      </c>
      <c r="X577" s="43"/>
      <c r="Y577" s="43"/>
      <c r="Z577" s="27"/>
      <c r="AA577" s="108"/>
      <c r="AB577" s="108"/>
    </row>
    <row r="578" spans="1:30" ht="135" x14ac:dyDescent="0.25">
      <c r="A578" s="73">
        <v>0</v>
      </c>
      <c r="B578" s="38" t="s">
        <v>468</v>
      </c>
      <c r="C578" s="39" t="s">
        <v>48</v>
      </c>
      <c r="D578" s="39" t="s">
        <v>1913</v>
      </c>
      <c r="E578" s="39" t="s">
        <v>54</v>
      </c>
      <c r="F578" s="39"/>
      <c r="G578" s="43"/>
      <c r="H578" s="38"/>
      <c r="I578" s="38"/>
      <c r="J578" s="52"/>
      <c r="K578" s="38"/>
      <c r="L578" s="39"/>
      <c r="M578" s="38"/>
      <c r="N578" s="43"/>
      <c r="O578" s="38"/>
      <c r="P578" s="38"/>
      <c r="Q578" s="40" t="s">
        <v>1914</v>
      </c>
      <c r="R578" s="38"/>
      <c r="S578" s="74" t="s">
        <v>1915</v>
      </c>
      <c r="T578" s="41">
        <v>2554740</v>
      </c>
      <c r="U578" s="42">
        <v>42552</v>
      </c>
      <c r="V578" s="42">
        <v>46934</v>
      </c>
      <c r="W578" s="13">
        <v>1658577.02</v>
      </c>
      <c r="X578" s="43"/>
      <c r="Y578" s="43"/>
      <c r="Z578" s="43"/>
      <c r="AA578" s="44"/>
      <c r="AB578" s="43"/>
      <c r="AC578" s="43"/>
      <c r="AD578" s="43"/>
    </row>
    <row r="579" spans="1:30" ht="105" x14ac:dyDescent="0.25">
      <c r="A579" s="43" t="s">
        <v>1916</v>
      </c>
      <c r="B579" s="43" t="s">
        <v>468</v>
      </c>
      <c r="C579" s="51" t="s">
        <v>48</v>
      </c>
      <c r="D579" s="51" t="s">
        <v>1917</v>
      </c>
      <c r="E579" s="51" t="s">
        <v>50</v>
      </c>
      <c r="F579" s="51"/>
      <c r="G579" s="43"/>
      <c r="H579" s="43"/>
      <c r="I579" s="38"/>
      <c r="J579" s="52" t="s">
        <v>1918</v>
      </c>
      <c r="K579" s="43"/>
      <c r="L579" s="51" t="s">
        <v>1919</v>
      </c>
      <c r="M579" s="43"/>
      <c r="N579" s="38"/>
      <c r="O579" s="43"/>
      <c r="P579" s="43"/>
      <c r="Q579" s="40" t="s">
        <v>1918</v>
      </c>
      <c r="R579" s="53"/>
      <c r="S579" s="44" t="s">
        <v>1919</v>
      </c>
      <c r="T579" s="41">
        <v>10543.8</v>
      </c>
      <c r="U579" s="42">
        <v>43132</v>
      </c>
      <c r="V579" s="42">
        <v>44957</v>
      </c>
      <c r="W579" s="13">
        <v>10543.77</v>
      </c>
      <c r="X579" s="43"/>
      <c r="Y579" s="43"/>
      <c r="Z579" s="43"/>
      <c r="AA579" s="44"/>
      <c r="AB579" s="43"/>
      <c r="AC579" s="43"/>
      <c r="AD579" s="43"/>
    </row>
    <row r="580" spans="1:30" ht="90" x14ac:dyDescent="0.25">
      <c r="A580" s="44" t="s">
        <v>1920</v>
      </c>
      <c r="B580" s="43" t="s">
        <v>468</v>
      </c>
      <c r="C580" s="51" t="s">
        <v>48</v>
      </c>
      <c r="D580" s="51" t="s">
        <v>1921</v>
      </c>
      <c r="E580" s="39" t="s">
        <v>108</v>
      </c>
      <c r="F580" s="43"/>
      <c r="G580" s="43"/>
      <c r="H580" s="43"/>
      <c r="I580" s="52"/>
      <c r="J580" s="75" t="s">
        <v>51</v>
      </c>
      <c r="K580" s="43"/>
      <c r="L580" s="51" t="s">
        <v>52</v>
      </c>
      <c r="M580" s="43"/>
      <c r="N580" s="40"/>
      <c r="O580" s="43"/>
      <c r="P580" s="51"/>
      <c r="Q580" s="75" t="s">
        <v>51</v>
      </c>
      <c r="R580" s="43"/>
      <c r="S580" s="43" t="s">
        <v>52</v>
      </c>
      <c r="T580" s="76">
        <v>3870.36</v>
      </c>
      <c r="U580" s="42">
        <v>43724</v>
      </c>
      <c r="V580" s="42">
        <v>47011</v>
      </c>
      <c r="W580" s="18">
        <v>1397.5</v>
      </c>
      <c r="X580" s="43"/>
      <c r="Y580" s="43"/>
      <c r="Z580" s="43"/>
      <c r="AA580" s="44"/>
      <c r="AB580" s="43"/>
      <c r="AC580" s="43"/>
      <c r="AD580" s="43"/>
    </row>
    <row r="581" spans="1:30" ht="60" x14ac:dyDescent="0.25">
      <c r="A581" s="44" t="s">
        <v>1922</v>
      </c>
      <c r="B581" s="43" t="s">
        <v>468</v>
      </c>
      <c r="C581" s="51" t="s">
        <v>48</v>
      </c>
      <c r="D581" s="51" t="s">
        <v>1923</v>
      </c>
      <c r="E581" s="39" t="s">
        <v>108</v>
      </c>
      <c r="F581" s="43"/>
      <c r="G581" s="43"/>
      <c r="H581" s="43"/>
      <c r="I581" s="52"/>
      <c r="J581" s="75" t="s">
        <v>1924</v>
      </c>
      <c r="K581" s="43"/>
      <c r="L581" s="51" t="s">
        <v>1925</v>
      </c>
      <c r="M581" s="43"/>
      <c r="N581" s="40"/>
      <c r="O581" s="43"/>
      <c r="P581" s="51"/>
      <c r="Q581" s="12" t="s">
        <v>1926</v>
      </c>
      <c r="R581" s="77"/>
      <c r="S581" s="44" t="s">
        <v>1927</v>
      </c>
      <c r="T581" s="76">
        <v>37500</v>
      </c>
      <c r="U581" s="42">
        <v>43831</v>
      </c>
      <c r="V581" s="42">
        <v>44926</v>
      </c>
      <c r="W581" s="19">
        <v>29998.7</v>
      </c>
      <c r="X581" s="43"/>
      <c r="Y581" s="43"/>
      <c r="Z581" s="43"/>
      <c r="AA581" s="44"/>
      <c r="AB581" s="43"/>
      <c r="AC581" s="43"/>
      <c r="AD581" s="43"/>
    </row>
    <row r="582" spans="1:30" ht="105" x14ac:dyDescent="0.25">
      <c r="A582" s="44" t="s">
        <v>1928</v>
      </c>
      <c r="B582" s="43" t="s">
        <v>468</v>
      </c>
      <c r="C582" s="51" t="s">
        <v>48</v>
      </c>
      <c r="D582" s="51" t="s">
        <v>1929</v>
      </c>
      <c r="E582" s="51" t="s">
        <v>50</v>
      </c>
      <c r="F582" s="43"/>
      <c r="G582" s="43"/>
      <c r="H582" s="43"/>
      <c r="I582" s="52"/>
      <c r="J582" s="78" t="s">
        <v>59</v>
      </c>
      <c r="K582" s="43"/>
      <c r="L582" s="51" t="s">
        <v>1930</v>
      </c>
      <c r="M582" s="43"/>
      <c r="N582" s="40"/>
      <c r="O582" s="43"/>
      <c r="P582" s="51"/>
      <c r="Q582" s="78" t="s">
        <v>59</v>
      </c>
      <c r="R582" s="77"/>
      <c r="S582" s="44" t="s">
        <v>1930</v>
      </c>
      <c r="T582" s="76">
        <v>10254</v>
      </c>
      <c r="U582" s="42">
        <v>43739</v>
      </c>
      <c r="V582" s="42">
        <v>45565</v>
      </c>
      <c r="W582" s="19">
        <v>7690.45</v>
      </c>
      <c r="X582" s="43"/>
      <c r="Y582" s="43"/>
      <c r="Z582" s="43"/>
      <c r="AA582" s="44"/>
      <c r="AB582" s="43"/>
      <c r="AC582" s="43"/>
      <c r="AD582" s="43"/>
    </row>
    <row r="583" spans="1:30" ht="405" x14ac:dyDescent="0.25">
      <c r="A583" s="44" t="s">
        <v>1931</v>
      </c>
      <c r="B583" s="43" t="s">
        <v>468</v>
      </c>
      <c r="C583" s="51" t="s">
        <v>48</v>
      </c>
      <c r="D583" s="51" t="s">
        <v>1932</v>
      </c>
      <c r="E583" s="79" t="s">
        <v>83</v>
      </c>
      <c r="F583" s="43"/>
      <c r="G583" s="43"/>
      <c r="H583" s="43"/>
      <c r="I583" s="52"/>
      <c r="J583" s="80" t="s">
        <v>1933</v>
      </c>
      <c r="K583" s="43"/>
      <c r="L583" s="81" t="s">
        <v>1934</v>
      </c>
      <c r="M583" s="43"/>
      <c r="N583" s="40"/>
      <c r="O583" s="43"/>
      <c r="P583" s="51"/>
      <c r="Q583" s="12" t="s">
        <v>1935</v>
      </c>
      <c r="R583" s="77"/>
      <c r="S583" s="44" t="s">
        <v>1936</v>
      </c>
      <c r="T583" s="76">
        <f>195000-(195000*0.217)</f>
        <v>152685</v>
      </c>
      <c r="U583" s="42">
        <v>43812</v>
      </c>
      <c r="V583" s="82">
        <v>44907</v>
      </c>
      <c r="W583" s="18">
        <v>140189.46</v>
      </c>
      <c r="X583" s="43"/>
      <c r="Y583" s="43"/>
      <c r="Z583" s="43"/>
      <c r="AA583" s="44"/>
      <c r="AB583" s="43"/>
      <c r="AC583" s="43"/>
      <c r="AD583" s="43"/>
    </row>
    <row r="584" spans="1:30" ht="75" x14ac:dyDescent="0.25">
      <c r="A584" s="43" t="s">
        <v>1937</v>
      </c>
      <c r="B584" s="83" t="s">
        <v>468</v>
      </c>
      <c r="C584" s="83" t="s">
        <v>48</v>
      </c>
      <c r="D584" s="51" t="s">
        <v>1938</v>
      </c>
      <c r="E584" s="51" t="s">
        <v>54</v>
      </c>
      <c r="F584" s="51"/>
      <c r="G584" s="43"/>
      <c r="H584" s="43"/>
      <c r="I584" s="38"/>
      <c r="J584" s="52" t="s">
        <v>484</v>
      </c>
      <c r="K584" s="43"/>
      <c r="L584" s="51" t="s">
        <v>1939</v>
      </c>
      <c r="M584" s="43"/>
      <c r="N584" s="38"/>
      <c r="O584" s="43"/>
      <c r="P584" s="43"/>
      <c r="Q584" s="40" t="s">
        <v>484</v>
      </c>
      <c r="R584" s="53"/>
      <c r="S584" s="43" t="s">
        <v>485</v>
      </c>
      <c r="T584" s="41">
        <v>179400</v>
      </c>
      <c r="U584" s="42">
        <v>43862</v>
      </c>
      <c r="V584" s="42">
        <v>44957</v>
      </c>
      <c r="W584" s="13">
        <v>179400</v>
      </c>
      <c r="X584" s="43"/>
      <c r="Y584" s="43"/>
      <c r="Z584" s="43"/>
      <c r="AA584" s="44"/>
      <c r="AB584" s="43"/>
      <c r="AC584" s="43"/>
      <c r="AD584" s="43"/>
    </row>
    <row r="585" spans="1:30" ht="150" x14ac:dyDescent="0.25">
      <c r="A585" s="38" t="s">
        <v>1940</v>
      </c>
      <c r="B585" s="83" t="s">
        <v>468</v>
      </c>
      <c r="C585" s="83" t="s">
        <v>48</v>
      </c>
      <c r="D585" s="39" t="s">
        <v>1941</v>
      </c>
      <c r="E585" s="39" t="s">
        <v>50</v>
      </c>
      <c r="F585" s="38"/>
      <c r="G585" s="38"/>
      <c r="H585" s="38"/>
      <c r="I585" s="38"/>
      <c r="J585" s="40" t="s">
        <v>1560</v>
      </c>
      <c r="K585" s="38"/>
      <c r="L585" s="39" t="s">
        <v>566</v>
      </c>
      <c r="M585" s="38"/>
      <c r="N585" s="38"/>
      <c r="O585" s="38"/>
      <c r="P585" s="38"/>
      <c r="Q585" s="40" t="s">
        <v>1560</v>
      </c>
      <c r="R585" s="38"/>
      <c r="S585" s="38" t="s">
        <v>566</v>
      </c>
      <c r="T585" s="41">
        <v>6902.2</v>
      </c>
      <c r="U585" s="42">
        <v>43952</v>
      </c>
      <c r="V585" s="42">
        <v>45777</v>
      </c>
      <c r="W585" s="13">
        <v>4486.38</v>
      </c>
      <c r="X585" s="43"/>
      <c r="Y585" s="43"/>
      <c r="Z585" s="43"/>
      <c r="AA585" s="44"/>
      <c r="AB585" s="43"/>
      <c r="AC585" s="43"/>
      <c r="AD585" s="43"/>
    </row>
    <row r="586" spans="1:30" ht="195" x14ac:dyDescent="0.25">
      <c r="A586" s="38" t="s">
        <v>1942</v>
      </c>
      <c r="B586" s="83" t="s">
        <v>468</v>
      </c>
      <c r="C586" s="83" t="s">
        <v>48</v>
      </c>
      <c r="D586" s="39" t="s">
        <v>1943</v>
      </c>
      <c r="E586" s="39" t="s">
        <v>50</v>
      </c>
      <c r="F586" s="38"/>
      <c r="G586" s="38"/>
      <c r="H586" s="38"/>
      <c r="I586" s="38"/>
      <c r="J586" s="40" t="s">
        <v>59</v>
      </c>
      <c r="K586" s="38"/>
      <c r="L586" s="39" t="s">
        <v>60</v>
      </c>
      <c r="M586" s="38"/>
      <c r="N586" s="38"/>
      <c r="O586" s="38"/>
      <c r="P586" s="38"/>
      <c r="Q586" s="40" t="s">
        <v>59</v>
      </c>
      <c r="R586" s="38"/>
      <c r="S586" s="38" t="s">
        <v>60</v>
      </c>
      <c r="T586" s="41">
        <v>32340.2</v>
      </c>
      <c r="U586" s="42">
        <v>43952</v>
      </c>
      <c r="V586" s="42">
        <v>45777</v>
      </c>
      <c r="W586" s="13">
        <v>19757.759999999998</v>
      </c>
      <c r="X586" s="43"/>
      <c r="Y586" s="43"/>
      <c r="Z586" s="43"/>
      <c r="AA586" s="44"/>
      <c r="AB586" s="43"/>
      <c r="AC586" s="43"/>
      <c r="AD586" s="43"/>
    </row>
    <row r="587" spans="1:30" ht="120" x14ac:dyDescent="0.25">
      <c r="A587" s="38" t="s">
        <v>1944</v>
      </c>
      <c r="B587" s="38">
        <v>80204250585</v>
      </c>
      <c r="C587" s="39" t="s">
        <v>48</v>
      </c>
      <c r="D587" s="39" t="s">
        <v>1945</v>
      </c>
      <c r="E587" s="39" t="s">
        <v>83</v>
      </c>
      <c r="F587" s="38"/>
      <c r="G587" s="38"/>
      <c r="H587" s="38"/>
      <c r="I587" s="38"/>
      <c r="J587" s="52" t="s">
        <v>1946</v>
      </c>
      <c r="K587" s="38"/>
      <c r="L587" s="39" t="s">
        <v>1947</v>
      </c>
      <c r="M587" s="38"/>
      <c r="N587" s="38"/>
      <c r="O587" s="38"/>
      <c r="P587" s="38"/>
      <c r="Q587" s="40" t="s">
        <v>1948</v>
      </c>
      <c r="R587" s="38"/>
      <c r="S587" s="38" t="s">
        <v>1949</v>
      </c>
      <c r="T587" s="41">
        <v>60150</v>
      </c>
      <c r="U587" s="42">
        <v>44287</v>
      </c>
      <c r="V587" s="42">
        <v>45382</v>
      </c>
      <c r="W587" s="13">
        <v>3347.15</v>
      </c>
      <c r="X587" s="43"/>
      <c r="Y587" s="43"/>
      <c r="Z587" s="43"/>
      <c r="AA587" s="44"/>
      <c r="AB587" s="43"/>
      <c r="AC587" s="43"/>
      <c r="AD587" s="43"/>
    </row>
    <row r="588" spans="1:30" ht="135" x14ac:dyDescent="0.25">
      <c r="A588" s="38" t="s">
        <v>1950</v>
      </c>
      <c r="B588" s="38">
        <v>80204250585</v>
      </c>
      <c r="C588" s="39" t="s">
        <v>48</v>
      </c>
      <c r="D588" s="39" t="s">
        <v>1951</v>
      </c>
      <c r="E588" s="39" t="s">
        <v>83</v>
      </c>
      <c r="F588" s="38"/>
      <c r="G588" s="38"/>
      <c r="H588" s="38"/>
      <c r="I588" s="38"/>
      <c r="J588" s="40" t="s">
        <v>1952</v>
      </c>
      <c r="K588" s="74"/>
      <c r="L588" s="84" t="s">
        <v>111</v>
      </c>
      <c r="M588" s="38"/>
      <c r="N588" s="38"/>
      <c r="O588" s="38"/>
      <c r="P588" s="38"/>
      <c r="Q588" s="40" t="s">
        <v>1952</v>
      </c>
      <c r="R588" s="74"/>
      <c r="S588" s="74" t="s">
        <v>111</v>
      </c>
      <c r="T588" s="41">
        <v>40030</v>
      </c>
      <c r="U588" s="42">
        <v>44221</v>
      </c>
      <c r="V588" s="42">
        <v>44950</v>
      </c>
      <c r="W588" s="13">
        <v>132</v>
      </c>
      <c r="X588" s="43"/>
      <c r="Y588" s="43"/>
      <c r="Z588" s="43"/>
      <c r="AA588" s="44"/>
      <c r="AB588" s="43"/>
      <c r="AC588" s="43"/>
      <c r="AD588" s="43"/>
    </row>
    <row r="589" spans="1:30" ht="75" x14ac:dyDescent="0.25">
      <c r="A589" s="38" t="s">
        <v>1953</v>
      </c>
      <c r="B589" s="38">
        <v>80204250585</v>
      </c>
      <c r="C589" s="39" t="s">
        <v>48</v>
      </c>
      <c r="D589" s="39" t="s">
        <v>1954</v>
      </c>
      <c r="E589" s="39" t="s">
        <v>108</v>
      </c>
      <c r="F589" s="38"/>
      <c r="G589" s="38"/>
      <c r="H589" s="38"/>
      <c r="I589" s="38"/>
      <c r="J589" s="52" t="s">
        <v>506</v>
      </c>
      <c r="K589" s="38"/>
      <c r="L589" s="39" t="s">
        <v>507</v>
      </c>
      <c r="M589" s="38"/>
      <c r="N589" s="38"/>
      <c r="O589" s="38"/>
      <c r="P589" s="38"/>
      <c r="Q589" s="52" t="s">
        <v>506</v>
      </c>
      <c r="R589" s="38"/>
      <c r="S589" s="39" t="s">
        <v>507</v>
      </c>
      <c r="T589" s="41">
        <v>6336</v>
      </c>
      <c r="U589" s="42">
        <v>44166</v>
      </c>
      <c r="V589" s="42">
        <v>45260</v>
      </c>
      <c r="W589" s="13">
        <v>5477.49</v>
      </c>
      <c r="X589" s="43"/>
      <c r="Y589" s="43"/>
      <c r="Z589" s="43"/>
      <c r="AA589" s="44"/>
      <c r="AB589" s="43"/>
      <c r="AC589" s="43"/>
      <c r="AD589" s="43"/>
    </row>
    <row r="590" spans="1:30" ht="120" x14ac:dyDescent="0.25">
      <c r="A590" s="38" t="s">
        <v>1955</v>
      </c>
      <c r="B590" s="38" t="s">
        <v>468</v>
      </c>
      <c r="C590" s="39" t="s">
        <v>48</v>
      </c>
      <c r="D590" s="39" t="s">
        <v>1956</v>
      </c>
      <c r="E590" s="39" t="s">
        <v>108</v>
      </c>
      <c r="F590" s="38"/>
      <c r="G590" s="38"/>
      <c r="H590" s="38"/>
      <c r="I590" s="38"/>
      <c r="J590" s="52" t="s">
        <v>1957</v>
      </c>
      <c r="K590" s="38"/>
      <c r="L590" s="39" t="s">
        <v>1958</v>
      </c>
      <c r="M590" s="38"/>
      <c r="N590" s="38"/>
      <c r="O590" s="38"/>
      <c r="P590" s="38"/>
      <c r="Q590" s="40" t="s">
        <v>506</v>
      </c>
      <c r="R590" s="38"/>
      <c r="S590" s="39" t="s">
        <v>507</v>
      </c>
      <c r="T590" s="41">
        <v>19699.62</v>
      </c>
      <c r="U590" s="42">
        <v>44256</v>
      </c>
      <c r="V590" s="42">
        <v>45351</v>
      </c>
      <c r="W590" s="13">
        <v>14336.43</v>
      </c>
      <c r="X590" s="43"/>
      <c r="Y590" s="43"/>
      <c r="Z590" s="43"/>
      <c r="AA590" s="44"/>
      <c r="AB590" s="43"/>
      <c r="AC590" s="43"/>
      <c r="AD590" s="43"/>
    </row>
    <row r="591" spans="1:30" ht="90" x14ac:dyDescent="0.25">
      <c r="A591" s="38" t="s">
        <v>1959</v>
      </c>
      <c r="B591" s="38" t="s">
        <v>468</v>
      </c>
      <c r="C591" s="39" t="s">
        <v>48</v>
      </c>
      <c r="D591" s="39" t="s">
        <v>1960</v>
      </c>
      <c r="E591" s="39" t="s">
        <v>50</v>
      </c>
      <c r="F591" s="38"/>
      <c r="G591" s="38"/>
      <c r="H591" s="38"/>
      <c r="I591" s="38"/>
      <c r="J591" s="40" t="s">
        <v>1961</v>
      </c>
      <c r="K591" s="38"/>
      <c r="L591" s="39" t="s">
        <v>1962</v>
      </c>
      <c r="M591" s="38"/>
      <c r="N591" s="38"/>
      <c r="O591" s="38"/>
      <c r="P591" s="38"/>
      <c r="Q591" s="40" t="s">
        <v>1961</v>
      </c>
      <c r="R591" s="38"/>
      <c r="S591" s="38" t="s">
        <v>1962</v>
      </c>
      <c r="T591" s="41">
        <v>140000</v>
      </c>
      <c r="U591" s="42">
        <v>44409</v>
      </c>
      <c r="V591" s="42">
        <v>45138</v>
      </c>
      <c r="W591" s="13">
        <v>128588.45</v>
      </c>
      <c r="X591" s="43"/>
      <c r="Y591" s="43"/>
      <c r="Z591" s="43"/>
      <c r="AA591" s="44"/>
      <c r="AB591" s="43"/>
      <c r="AC591" s="43"/>
      <c r="AD591" s="43"/>
    </row>
    <row r="592" spans="1:30" ht="135" x14ac:dyDescent="0.25">
      <c r="A592" s="38" t="s">
        <v>1963</v>
      </c>
      <c r="B592" s="83" t="s">
        <v>468</v>
      </c>
      <c r="C592" s="83" t="s">
        <v>48</v>
      </c>
      <c r="D592" s="85" t="s">
        <v>1964</v>
      </c>
      <c r="E592" s="39" t="s">
        <v>108</v>
      </c>
      <c r="F592" s="38"/>
      <c r="G592" s="38"/>
      <c r="H592" s="38"/>
      <c r="I592" s="38"/>
      <c r="J592" s="52" t="s">
        <v>1965</v>
      </c>
      <c r="K592" s="38"/>
      <c r="L592" s="39" t="s">
        <v>1966</v>
      </c>
      <c r="M592" s="38"/>
      <c r="N592" s="38"/>
      <c r="O592" s="38"/>
      <c r="P592" s="38"/>
      <c r="Q592" s="40" t="s">
        <v>1967</v>
      </c>
      <c r="R592" s="38"/>
      <c r="S592" s="38" t="s">
        <v>1968</v>
      </c>
      <c r="T592" s="41">
        <v>1996</v>
      </c>
      <c r="U592" s="42">
        <v>44338</v>
      </c>
      <c r="V592" s="42">
        <v>45068</v>
      </c>
      <c r="W592" s="13">
        <v>1996</v>
      </c>
      <c r="X592" s="43"/>
      <c r="Y592" s="43"/>
      <c r="Z592" s="43"/>
      <c r="AA592" s="44"/>
      <c r="AB592" s="43"/>
      <c r="AC592" s="43"/>
      <c r="AD592" s="43"/>
    </row>
    <row r="593" spans="1:30" ht="75" x14ac:dyDescent="0.25">
      <c r="A593" s="38" t="s">
        <v>1969</v>
      </c>
      <c r="B593" s="38" t="s">
        <v>468</v>
      </c>
      <c r="C593" s="39" t="s">
        <v>48</v>
      </c>
      <c r="D593" s="39" t="s">
        <v>1970</v>
      </c>
      <c r="E593" s="39" t="s">
        <v>108</v>
      </c>
      <c r="F593" s="38"/>
      <c r="G593" s="38"/>
      <c r="H593" s="38"/>
      <c r="I593" s="38"/>
      <c r="J593" s="40" t="s">
        <v>1971</v>
      </c>
      <c r="K593" s="38"/>
      <c r="L593" s="39" t="s">
        <v>1972</v>
      </c>
      <c r="M593" s="38"/>
      <c r="N593" s="38"/>
      <c r="O593" s="38"/>
      <c r="P593" s="38"/>
      <c r="Q593" s="40" t="s">
        <v>1971</v>
      </c>
      <c r="R593" s="38"/>
      <c r="S593" s="38" t="s">
        <v>1972</v>
      </c>
      <c r="T593" s="41">
        <v>6980</v>
      </c>
      <c r="U593" s="42">
        <v>44386</v>
      </c>
      <c r="V593" s="42">
        <v>45115</v>
      </c>
      <c r="W593" s="13">
        <v>6980</v>
      </c>
      <c r="X593" s="43"/>
      <c r="Y593" s="43"/>
      <c r="Z593" s="43"/>
      <c r="AA593" s="44"/>
      <c r="AB593" s="43"/>
      <c r="AC593" s="43"/>
      <c r="AD593" s="43"/>
    </row>
    <row r="594" spans="1:30" ht="225" x14ac:dyDescent="0.25">
      <c r="A594" s="38" t="s">
        <v>1973</v>
      </c>
      <c r="B594" s="38">
        <v>80204250585</v>
      </c>
      <c r="C594" s="39" t="s">
        <v>48</v>
      </c>
      <c r="D594" s="39" t="s">
        <v>1974</v>
      </c>
      <c r="E594" s="39" t="s">
        <v>50</v>
      </c>
      <c r="F594" s="64" t="s">
        <v>868</v>
      </c>
      <c r="G594" s="43"/>
      <c r="H594" s="39" t="s">
        <v>869</v>
      </c>
      <c r="I594" s="39" t="s">
        <v>604</v>
      </c>
      <c r="J594" s="38"/>
      <c r="K594" s="43"/>
      <c r="L594" s="51"/>
      <c r="M594" s="64" t="s">
        <v>868</v>
      </c>
      <c r="N594" s="43"/>
      <c r="O594" s="39" t="s">
        <v>869</v>
      </c>
      <c r="P594" s="39" t="s">
        <v>604</v>
      </c>
      <c r="Q594" s="40"/>
      <c r="R594" s="43"/>
      <c r="S594" s="43"/>
      <c r="T594" s="41">
        <v>33898.31</v>
      </c>
      <c r="U594" s="42">
        <v>44317</v>
      </c>
      <c r="V594" s="42">
        <v>45412</v>
      </c>
      <c r="W594" s="13">
        <v>20639.2</v>
      </c>
      <c r="X594" s="43"/>
      <c r="Y594" s="43"/>
      <c r="Z594" s="43"/>
      <c r="AA594" s="44"/>
      <c r="AB594" s="43"/>
      <c r="AC594" s="43"/>
      <c r="AD594" s="43"/>
    </row>
    <row r="595" spans="1:30" ht="135" x14ac:dyDescent="0.25">
      <c r="A595" s="38" t="s">
        <v>1975</v>
      </c>
      <c r="B595" s="38">
        <v>80204250586</v>
      </c>
      <c r="C595" s="39" t="s">
        <v>48</v>
      </c>
      <c r="D595" s="39" t="s">
        <v>1976</v>
      </c>
      <c r="E595" s="39" t="s">
        <v>108</v>
      </c>
      <c r="F595" s="38"/>
      <c r="G595" s="38"/>
      <c r="H595" s="38"/>
      <c r="I595" s="38"/>
      <c r="J595" s="40" t="s">
        <v>1977</v>
      </c>
      <c r="K595" s="38"/>
      <c r="L595" s="39" t="s">
        <v>1978</v>
      </c>
      <c r="M595" s="38"/>
      <c r="N595" s="38"/>
      <c r="O595" s="38"/>
      <c r="P595" s="38"/>
      <c r="Q595" s="40" t="s">
        <v>1977</v>
      </c>
      <c r="R595" s="38"/>
      <c r="S595" s="38" t="s">
        <v>1978</v>
      </c>
      <c r="T595" s="41">
        <v>17475</v>
      </c>
      <c r="U595" s="42">
        <v>44378</v>
      </c>
      <c r="V595" s="42">
        <v>45291</v>
      </c>
      <c r="W595" s="13">
        <v>13980</v>
      </c>
      <c r="X595" s="43"/>
      <c r="Y595" s="43"/>
      <c r="Z595" s="43"/>
      <c r="AA595" s="44"/>
      <c r="AB595" s="43"/>
      <c r="AC595" s="43"/>
      <c r="AD595" s="43"/>
    </row>
    <row r="596" spans="1:30" ht="75" x14ac:dyDescent="0.25">
      <c r="A596" s="38" t="s">
        <v>1979</v>
      </c>
      <c r="B596" s="38">
        <v>80204250585</v>
      </c>
      <c r="C596" s="39" t="s">
        <v>48</v>
      </c>
      <c r="D596" s="39" t="s">
        <v>1980</v>
      </c>
      <c r="E596" s="39" t="s">
        <v>63</v>
      </c>
      <c r="F596" s="38"/>
      <c r="G596" s="38"/>
      <c r="H596" s="38"/>
      <c r="I596" s="38"/>
      <c r="J596" s="52" t="s">
        <v>1981</v>
      </c>
      <c r="K596" s="38"/>
      <c r="L596" s="39" t="s">
        <v>1982</v>
      </c>
      <c r="M596" s="38"/>
      <c r="N596" s="38"/>
      <c r="O596" s="38"/>
      <c r="P596" s="38"/>
      <c r="Q596" s="40" t="s">
        <v>1983</v>
      </c>
      <c r="R596" s="38"/>
      <c r="S596" s="38" t="s">
        <v>1984</v>
      </c>
      <c r="T596" s="41">
        <v>1244862.44</v>
      </c>
      <c r="U596" s="42">
        <v>44166</v>
      </c>
      <c r="V596" s="42">
        <v>45991</v>
      </c>
      <c r="W596" s="13">
        <v>683875.4</v>
      </c>
      <c r="X596" s="43"/>
      <c r="Y596" s="43"/>
      <c r="Z596" s="43"/>
      <c r="AA596" s="44"/>
      <c r="AB596" s="43"/>
      <c r="AC596" s="43"/>
      <c r="AD596" s="43"/>
    </row>
    <row r="597" spans="1:30" ht="90" x14ac:dyDescent="0.25">
      <c r="A597" s="38" t="s">
        <v>1985</v>
      </c>
      <c r="B597" s="38">
        <v>80204250585</v>
      </c>
      <c r="C597" s="39" t="s">
        <v>48</v>
      </c>
      <c r="D597" s="39" t="s">
        <v>1986</v>
      </c>
      <c r="E597" s="39" t="s">
        <v>50</v>
      </c>
      <c r="F597" s="38"/>
      <c r="G597" s="38"/>
      <c r="H597" s="38"/>
      <c r="I597" s="38"/>
      <c r="J597" s="40" t="s">
        <v>105</v>
      </c>
      <c r="K597" s="38"/>
      <c r="L597" s="39" t="s">
        <v>847</v>
      </c>
      <c r="M597" s="38"/>
      <c r="N597" s="38"/>
      <c r="O597" s="38"/>
      <c r="P597" s="38"/>
      <c r="Q597" s="40" t="s">
        <v>105</v>
      </c>
      <c r="R597" s="38"/>
      <c r="S597" s="38" t="s">
        <v>847</v>
      </c>
      <c r="T597" s="41">
        <v>517200</v>
      </c>
      <c r="U597" s="42">
        <v>44470</v>
      </c>
      <c r="V597" s="42">
        <v>45199</v>
      </c>
      <c r="W597" s="13">
        <v>384279.58</v>
      </c>
      <c r="X597" s="43"/>
      <c r="Y597" s="43"/>
      <c r="Z597" s="43"/>
      <c r="AA597" s="44"/>
      <c r="AB597" s="43"/>
      <c r="AC597" s="43"/>
      <c r="AD597" s="43"/>
    </row>
    <row r="598" spans="1:30" ht="90" x14ac:dyDescent="0.25">
      <c r="A598" s="38" t="s">
        <v>1987</v>
      </c>
      <c r="B598" s="38" t="s">
        <v>468</v>
      </c>
      <c r="C598" s="39" t="s">
        <v>48</v>
      </c>
      <c r="D598" s="39" t="s">
        <v>1988</v>
      </c>
      <c r="E598" s="39" t="s">
        <v>50</v>
      </c>
      <c r="F598" s="38"/>
      <c r="G598" s="38"/>
      <c r="H598" s="38"/>
      <c r="I598" s="38"/>
      <c r="J598" s="40"/>
      <c r="K598" s="38"/>
      <c r="L598" s="39"/>
      <c r="M598" s="38"/>
      <c r="N598" s="38"/>
      <c r="O598" s="38"/>
      <c r="P598" s="38"/>
      <c r="Q598" s="40" t="s">
        <v>1989</v>
      </c>
      <c r="R598" s="38"/>
      <c r="S598" s="38" t="s">
        <v>1990</v>
      </c>
      <c r="T598" s="41">
        <v>1745.9</v>
      </c>
      <c r="U598" s="42">
        <v>44562</v>
      </c>
      <c r="V598" s="42">
        <v>45626</v>
      </c>
      <c r="W598" s="13">
        <v>427.84</v>
      </c>
      <c r="X598" s="43"/>
      <c r="Y598" s="43"/>
      <c r="Z598" s="43"/>
      <c r="AA598" s="44"/>
      <c r="AB598" s="43"/>
      <c r="AC598" s="43"/>
      <c r="AD598" s="43"/>
    </row>
    <row r="599" spans="1:30" ht="390" x14ac:dyDescent="0.25">
      <c r="A599" s="38" t="s">
        <v>1991</v>
      </c>
      <c r="B599" s="38" t="s">
        <v>468</v>
      </c>
      <c r="C599" s="39" t="s">
        <v>48</v>
      </c>
      <c r="D599" s="39" t="s">
        <v>1992</v>
      </c>
      <c r="E599" s="39" t="s">
        <v>50</v>
      </c>
      <c r="F599" s="38"/>
      <c r="G599" s="38"/>
      <c r="H599" s="38"/>
      <c r="I599" s="38"/>
      <c r="J599" s="40"/>
      <c r="K599" s="38"/>
      <c r="L599" s="39"/>
      <c r="M599" s="64" t="s">
        <v>1993</v>
      </c>
      <c r="N599" s="43"/>
      <c r="O599" s="39" t="s">
        <v>1994</v>
      </c>
      <c r="P599" s="39" t="s">
        <v>604</v>
      </c>
      <c r="Q599" s="40"/>
      <c r="R599" s="38"/>
      <c r="S599" s="38"/>
      <c r="T599" s="41">
        <v>2963188.04</v>
      </c>
      <c r="U599" s="42">
        <v>44562</v>
      </c>
      <c r="V599" s="42">
        <v>46752</v>
      </c>
      <c r="W599" s="13">
        <v>697097.84</v>
      </c>
      <c r="X599" s="43"/>
      <c r="Y599" s="43"/>
      <c r="Z599" s="43"/>
      <c r="AA599" s="44"/>
      <c r="AB599" s="43"/>
      <c r="AC599" s="43"/>
      <c r="AD599" s="43"/>
    </row>
    <row r="600" spans="1:30" ht="60" x14ac:dyDescent="0.25">
      <c r="A600" s="38" t="s">
        <v>1995</v>
      </c>
      <c r="B600" s="38" t="s">
        <v>468</v>
      </c>
      <c r="C600" s="39" t="s">
        <v>48</v>
      </c>
      <c r="D600" s="39" t="s">
        <v>1996</v>
      </c>
      <c r="E600" s="39" t="s">
        <v>108</v>
      </c>
      <c r="F600" s="38"/>
      <c r="G600" s="38"/>
      <c r="H600" s="38"/>
      <c r="I600" s="38"/>
      <c r="J600" s="40" t="s">
        <v>1997</v>
      </c>
      <c r="K600" s="38"/>
      <c r="L600" s="39" t="s">
        <v>1998</v>
      </c>
      <c r="M600" s="38"/>
      <c r="N600" s="38"/>
      <c r="O600" s="38"/>
      <c r="P600" s="38"/>
      <c r="Q600" s="40" t="s">
        <v>1997</v>
      </c>
      <c r="R600" s="38"/>
      <c r="S600" s="38" t="s">
        <v>1998</v>
      </c>
      <c r="T600" s="41">
        <v>7500</v>
      </c>
      <c r="U600" s="42">
        <v>44562</v>
      </c>
      <c r="V600" s="42">
        <v>45657</v>
      </c>
      <c r="W600" s="13">
        <v>6100</v>
      </c>
      <c r="X600" s="43"/>
      <c r="Y600" s="43"/>
      <c r="Z600" s="43"/>
      <c r="AA600" s="44"/>
      <c r="AB600" s="43"/>
      <c r="AC600" s="43"/>
      <c r="AD600" s="43"/>
    </row>
    <row r="601" spans="1:30" ht="90" x14ac:dyDescent="0.25">
      <c r="A601" s="38" t="s">
        <v>1999</v>
      </c>
      <c r="B601" s="38" t="s">
        <v>468</v>
      </c>
      <c r="C601" s="39" t="s">
        <v>48</v>
      </c>
      <c r="D601" s="39" t="s">
        <v>2000</v>
      </c>
      <c r="E601" s="39" t="s">
        <v>50</v>
      </c>
      <c r="F601" s="38"/>
      <c r="G601" s="38"/>
      <c r="H601" s="38"/>
      <c r="I601" s="38"/>
      <c r="J601" s="52" t="s">
        <v>2001</v>
      </c>
      <c r="K601" s="38"/>
      <c r="L601" s="39" t="s">
        <v>2002</v>
      </c>
      <c r="M601" s="38"/>
      <c r="N601" s="38"/>
      <c r="O601" s="38"/>
      <c r="P601" s="38"/>
      <c r="Q601" s="40" t="s">
        <v>2001</v>
      </c>
      <c r="R601" s="38"/>
      <c r="S601" s="38" t="s">
        <v>2002</v>
      </c>
      <c r="T601" s="41">
        <v>2769270</v>
      </c>
      <c r="U601" s="42">
        <v>44652</v>
      </c>
      <c r="V601" s="42">
        <v>46022</v>
      </c>
      <c r="W601" s="13">
        <f>1418355.76+5119.27+48059.75+4122.55+39766.53</f>
        <v>1515423.86</v>
      </c>
      <c r="X601" s="43"/>
      <c r="Y601" s="43"/>
      <c r="Z601" s="43"/>
      <c r="AA601" s="44"/>
      <c r="AB601" s="43"/>
      <c r="AC601" s="43"/>
      <c r="AD601" s="43"/>
    </row>
    <row r="602" spans="1:30" ht="105" x14ac:dyDescent="0.25">
      <c r="A602" s="38" t="s">
        <v>2003</v>
      </c>
      <c r="B602" s="38">
        <v>80204250585</v>
      </c>
      <c r="C602" s="39" t="s">
        <v>48</v>
      </c>
      <c r="D602" s="39" t="s">
        <v>2004</v>
      </c>
      <c r="E602" s="39" t="s">
        <v>108</v>
      </c>
      <c r="F602" s="38"/>
      <c r="G602" s="38"/>
      <c r="H602" s="38"/>
      <c r="I602" s="38"/>
      <c r="J602" s="40" t="s">
        <v>2005</v>
      </c>
      <c r="K602" s="38"/>
      <c r="L602" s="39" t="s">
        <v>2006</v>
      </c>
      <c r="M602" s="38"/>
      <c r="N602" s="38"/>
      <c r="O602" s="38"/>
      <c r="P602" s="38"/>
      <c r="Q602" s="40" t="s">
        <v>2005</v>
      </c>
      <c r="R602" s="38"/>
      <c r="S602" s="38" t="s">
        <v>2006</v>
      </c>
      <c r="T602" s="41">
        <v>840</v>
      </c>
      <c r="U602" s="42">
        <v>44652</v>
      </c>
      <c r="V602" s="42">
        <v>45016</v>
      </c>
      <c r="X602" s="43"/>
      <c r="Y602" s="43"/>
      <c r="Z602" s="43"/>
      <c r="AA602" s="44"/>
      <c r="AB602" s="43"/>
      <c r="AC602" s="43"/>
      <c r="AD602" s="43"/>
    </row>
    <row r="603" spans="1:30" ht="75" x14ac:dyDescent="0.25">
      <c r="A603" s="38" t="s">
        <v>2007</v>
      </c>
      <c r="B603" s="38" t="s">
        <v>468</v>
      </c>
      <c r="C603" s="39" t="s">
        <v>48</v>
      </c>
      <c r="D603" s="39" t="s">
        <v>2008</v>
      </c>
      <c r="E603" s="39" t="s">
        <v>54</v>
      </c>
      <c r="F603" s="38"/>
      <c r="G603" s="38"/>
      <c r="H603" s="38"/>
      <c r="I603" s="38"/>
      <c r="J603" s="40"/>
      <c r="K603" s="38" t="s">
        <v>2009</v>
      </c>
      <c r="L603" s="39" t="s">
        <v>2010</v>
      </c>
      <c r="M603" s="38"/>
      <c r="N603" s="38"/>
      <c r="O603" s="38"/>
      <c r="P603" s="38"/>
      <c r="Q603" s="40"/>
      <c r="R603" s="38" t="s">
        <v>2009</v>
      </c>
      <c r="S603" s="39" t="s">
        <v>2010</v>
      </c>
      <c r="T603" s="41">
        <v>4729</v>
      </c>
      <c r="U603" s="42">
        <v>44616</v>
      </c>
      <c r="V603" s="42">
        <v>44980</v>
      </c>
      <c r="W603" s="13">
        <v>4729</v>
      </c>
      <c r="X603" s="43"/>
      <c r="Y603" s="43"/>
      <c r="Z603" s="43"/>
      <c r="AA603" s="44"/>
      <c r="AB603" s="43"/>
      <c r="AC603" s="43"/>
      <c r="AD603" s="43"/>
    </row>
    <row r="604" spans="1:30" ht="195" x14ac:dyDescent="0.25">
      <c r="A604" s="38" t="s">
        <v>2011</v>
      </c>
      <c r="B604" s="38" t="s">
        <v>468</v>
      </c>
      <c r="C604" s="39" t="s">
        <v>48</v>
      </c>
      <c r="D604" s="39" t="s">
        <v>2012</v>
      </c>
      <c r="E604" s="39" t="s">
        <v>108</v>
      </c>
      <c r="F604" s="38"/>
      <c r="G604" s="38"/>
      <c r="H604" s="38"/>
      <c r="I604" s="38"/>
      <c r="J604" s="40" t="s">
        <v>287</v>
      </c>
      <c r="K604" s="38"/>
      <c r="L604" s="39" t="s">
        <v>2013</v>
      </c>
      <c r="M604" s="38"/>
      <c r="N604" s="38"/>
      <c r="O604" s="38"/>
      <c r="P604" s="38"/>
      <c r="Q604" s="40" t="s">
        <v>287</v>
      </c>
      <c r="R604" s="38"/>
      <c r="S604" s="39" t="s">
        <v>2013</v>
      </c>
      <c r="T604" s="41">
        <v>5500</v>
      </c>
      <c r="U604" s="42">
        <v>44743</v>
      </c>
      <c r="V604" s="42">
        <v>44926</v>
      </c>
      <c r="W604" s="13">
        <v>226.5</v>
      </c>
      <c r="X604" s="43"/>
      <c r="Y604" s="43"/>
      <c r="Z604" s="43"/>
      <c r="AA604" s="44"/>
      <c r="AB604" s="43"/>
      <c r="AC604" s="43"/>
      <c r="AD604" s="43"/>
    </row>
    <row r="605" spans="1:30" ht="120" x14ac:dyDescent="0.25">
      <c r="A605" s="38" t="s">
        <v>2014</v>
      </c>
      <c r="B605" s="38" t="s">
        <v>468</v>
      </c>
      <c r="C605" s="39" t="s">
        <v>48</v>
      </c>
      <c r="D605" s="39" t="s">
        <v>2015</v>
      </c>
      <c r="E605" s="39" t="s">
        <v>108</v>
      </c>
      <c r="F605" s="38"/>
      <c r="G605" s="38"/>
      <c r="H605" s="38"/>
      <c r="I605" s="38"/>
      <c r="J605" s="86" t="s">
        <v>2016</v>
      </c>
      <c r="K605" s="43"/>
      <c r="L605" s="43" t="s">
        <v>2017</v>
      </c>
      <c r="M605" s="38"/>
      <c r="N605" s="38"/>
      <c r="O605" s="38"/>
      <c r="P605" s="38"/>
      <c r="Q605" s="86" t="s">
        <v>2016</v>
      </c>
      <c r="R605" s="43"/>
      <c r="S605" s="43" t="s">
        <v>2017</v>
      </c>
      <c r="T605" s="41">
        <v>760</v>
      </c>
      <c r="U605" s="42">
        <v>44809</v>
      </c>
      <c r="V605" s="42">
        <v>44926</v>
      </c>
      <c r="W605" s="13">
        <v>760</v>
      </c>
      <c r="X605" s="43"/>
      <c r="Y605" s="43"/>
      <c r="Z605" s="43"/>
      <c r="AA605" s="44"/>
      <c r="AB605" s="43"/>
      <c r="AC605" s="43"/>
      <c r="AD605" s="43"/>
    </row>
    <row r="606" spans="1:30" ht="75" x14ac:dyDescent="0.25">
      <c r="A606" s="38" t="s">
        <v>2018</v>
      </c>
      <c r="B606" s="38" t="s">
        <v>468</v>
      </c>
      <c r="C606" s="39" t="s">
        <v>48</v>
      </c>
      <c r="D606" s="39" t="s">
        <v>2019</v>
      </c>
      <c r="E606" s="39" t="s">
        <v>108</v>
      </c>
      <c r="F606" s="38"/>
      <c r="G606" s="38"/>
      <c r="H606" s="38"/>
      <c r="I606" s="38"/>
      <c r="J606" s="40" t="s">
        <v>1977</v>
      </c>
      <c r="K606" s="38"/>
      <c r="L606" s="39" t="s">
        <v>1978</v>
      </c>
      <c r="M606" s="38"/>
      <c r="N606" s="38"/>
      <c r="O606" s="38"/>
      <c r="P606" s="38"/>
      <c r="Q606" s="40" t="s">
        <v>1977</v>
      </c>
      <c r="R606" s="38"/>
      <c r="S606" s="39" t="s">
        <v>1978</v>
      </c>
      <c r="T606" s="41">
        <v>6512</v>
      </c>
      <c r="U606" s="42">
        <v>44743</v>
      </c>
      <c r="V606" s="42">
        <v>44865</v>
      </c>
      <c r="W606" s="13">
        <v>6512</v>
      </c>
      <c r="X606" s="43"/>
      <c r="Y606" s="43"/>
      <c r="Z606" s="43"/>
      <c r="AA606" s="44"/>
      <c r="AB606" s="43"/>
      <c r="AC606" s="43"/>
      <c r="AD606" s="43"/>
    </row>
    <row r="607" spans="1:30" ht="75" x14ac:dyDescent="0.25">
      <c r="A607" s="38" t="s">
        <v>2020</v>
      </c>
      <c r="B607" s="38" t="s">
        <v>468</v>
      </c>
      <c r="C607" s="39" t="s">
        <v>48</v>
      </c>
      <c r="D607" s="39" t="s">
        <v>2021</v>
      </c>
      <c r="E607" s="39" t="s">
        <v>108</v>
      </c>
      <c r="F607" s="38"/>
      <c r="G607" s="38"/>
      <c r="H607" s="38"/>
      <c r="I607" s="38"/>
      <c r="J607" s="52" t="s">
        <v>2022</v>
      </c>
      <c r="K607" s="38"/>
      <c r="L607" s="39" t="s">
        <v>2023</v>
      </c>
      <c r="M607" s="38"/>
      <c r="N607" s="38"/>
      <c r="O607" s="38"/>
      <c r="P607" s="38"/>
      <c r="Q607" s="52" t="s">
        <v>2022</v>
      </c>
      <c r="R607" s="38"/>
      <c r="S607" s="39" t="s">
        <v>2023</v>
      </c>
      <c r="T607" s="41">
        <v>3203</v>
      </c>
      <c r="U607" s="42">
        <v>44845</v>
      </c>
      <c r="V607" s="42">
        <v>44865</v>
      </c>
      <c r="W607" s="13">
        <v>3203</v>
      </c>
      <c r="X607" s="43"/>
      <c r="Y607" s="43"/>
      <c r="Z607" s="43"/>
      <c r="AA607" s="44"/>
      <c r="AB607" s="43"/>
      <c r="AC607" s="43"/>
      <c r="AD607" s="43"/>
    </row>
    <row r="608" spans="1:30" ht="45" x14ac:dyDescent="0.25">
      <c r="A608" s="38" t="s">
        <v>2024</v>
      </c>
      <c r="B608" s="38" t="s">
        <v>468</v>
      </c>
      <c r="C608" s="39" t="s">
        <v>48</v>
      </c>
      <c r="D608" s="39" t="s">
        <v>2025</v>
      </c>
      <c r="E608" s="39" t="s">
        <v>108</v>
      </c>
      <c r="F608" s="38"/>
      <c r="G608" s="38"/>
      <c r="H608" s="38"/>
      <c r="I608" s="38"/>
      <c r="J608" s="40" t="s">
        <v>2026</v>
      </c>
      <c r="K608" s="38"/>
      <c r="L608" s="38" t="s">
        <v>2027</v>
      </c>
      <c r="M608" s="38"/>
      <c r="N608" s="38"/>
      <c r="O608" s="38"/>
      <c r="P608" s="38"/>
      <c r="Q608" s="40" t="s">
        <v>2026</v>
      </c>
      <c r="R608" s="38"/>
      <c r="S608" s="38" t="s">
        <v>2027</v>
      </c>
      <c r="T608" s="41">
        <v>8000</v>
      </c>
      <c r="U608" s="42">
        <v>44865</v>
      </c>
      <c r="V608" s="42">
        <v>44925</v>
      </c>
      <c r="W608" s="13">
        <v>8000</v>
      </c>
      <c r="X608" s="43"/>
      <c r="Y608" s="43"/>
      <c r="Z608" s="43"/>
      <c r="AA608" s="44"/>
      <c r="AB608" s="43"/>
      <c r="AC608" s="43"/>
      <c r="AD608" s="43"/>
    </row>
    <row r="609" spans="1:30" ht="105" x14ac:dyDescent="0.25">
      <c r="A609" s="38" t="s">
        <v>2028</v>
      </c>
      <c r="B609" s="38" t="s">
        <v>468</v>
      </c>
      <c r="C609" s="39" t="s">
        <v>48</v>
      </c>
      <c r="D609" s="39" t="s">
        <v>2029</v>
      </c>
      <c r="E609" s="39" t="s">
        <v>108</v>
      </c>
      <c r="F609" s="38"/>
      <c r="G609" s="38"/>
      <c r="H609" s="38"/>
      <c r="I609" s="38"/>
      <c r="J609" s="40" t="s">
        <v>2030</v>
      </c>
      <c r="K609" s="38"/>
      <c r="L609" s="39" t="s">
        <v>2031</v>
      </c>
      <c r="M609" s="38"/>
      <c r="N609" s="38"/>
      <c r="O609" s="38"/>
      <c r="P609" s="38"/>
      <c r="Q609" s="40" t="s">
        <v>2030</v>
      </c>
      <c r="R609" s="38"/>
      <c r="S609" s="39" t="s">
        <v>2031</v>
      </c>
      <c r="T609" s="41">
        <v>7500</v>
      </c>
      <c r="U609" s="42">
        <v>44881</v>
      </c>
      <c r="V609" s="42">
        <v>44910</v>
      </c>
      <c r="W609" s="13">
        <v>7500</v>
      </c>
      <c r="X609" s="43"/>
      <c r="Y609" s="43"/>
      <c r="Z609" s="43"/>
      <c r="AA609" s="44"/>
      <c r="AB609" s="43"/>
      <c r="AC609" s="43"/>
      <c r="AD609" s="43"/>
    </row>
    <row r="610" spans="1:30" ht="75" x14ac:dyDescent="0.25">
      <c r="A610" s="38" t="s">
        <v>2032</v>
      </c>
      <c r="B610" s="38" t="s">
        <v>468</v>
      </c>
      <c r="C610" s="39" t="s">
        <v>48</v>
      </c>
      <c r="D610" s="39" t="s">
        <v>2033</v>
      </c>
      <c r="E610" s="39" t="s">
        <v>108</v>
      </c>
      <c r="F610" s="38"/>
      <c r="G610" s="38"/>
      <c r="H610" s="38"/>
      <c r="I610" s="38"/>
      <c r="J610" s="40" t="s">
        <v>2034</v>
      </c>
      <c r="K610" s="38"/>
      <c r="L610" s="38" t="s">
        <v>2035</v>
      </c>
      <c r="M610" s="38"/>
      <c r="N610" s="38"/>
      <c r="O610" s="38"/>
      <c r="P610" s="38"/>
      <c r="Q610" s="40" t="s">
        <v>2034</v>
      </c>
      <c r="R610" s="38"/>
      <c r="S610" s="38" t="s">
        <v>2035</v>
      </c>
      <c r="T610" s="41">
        <v>1085.3399999999999</v>
      </c>
      <c r="U610" s="42"/>
      <c r="V610" s="42"/>
      <c r="W610" s="13">
        <v>1085</v>
      </c>
      <c r="X610" s="43"/>
      <c r="Y610" s="43"/>
      <c r="Z610" s="43"/>
      <c r="AA610" s="44"/>
      <c r="AB610" s="43"/>
      <c r="AC610" s="43"/>
      <c r="AD610" s="43"/>
    </row>
    <row r="611" spans="1:30" ht="120" x14ac:dyDescent="0.25">
      <c r="A611" s="38" t="s">
        <v>2036</v>
      </c>
      <c r="B611" s="38" t="s">
        <v>468</v>
      </c>
      <c r="C611" s="39" t="s">
        <v>48</v>
      </c>
      <c r="D611" s="39" t="s">
        <v>2037</v>
      </c>
      <c r="E611" s="39" t="s">
        <v>108</v>
      </c>
      <c r="F611" s="38"/>
      <c r="G611" s="38"/>
      <c r="H611" s="38"/>
      <c r="I611" s="38"/>
      <c r="J611" s="40" t="s">
        <v>287</v>
      </c>
      <c r="K611" s="38"/>
      <c r="L611" s="39" t="s">
        <v>2013</v>
      </c>
      <c r="M611" s="38"/>
      <c r="N611" s="38"/>
      <c r="O611" s="38"/>
      <c r="P611" s="38"/>
      <c r="Q611" s="40" t="s">
        <v>287</v>
      </c>
      <c r="R611" s="38"/>
      <c r="S611" s="39" t="s">
        <v>2013</v>
      </c>
      <c r="T611" s="41">
        <v>1500</v>
      </c>
      <c r="U611" s="42">
        <v>44927</v>
      </c>
      <c r="V611" s="42">
        <v>45291</v>
      </c>
      <c r="W611" s="13">
        <v>0</v>
      </c>
      <c r="X611" s="43"/>
      <c r="Y611" s="43"/>
      <c r="Z611" s="43"/>
      <c r="AA611" s="44"/>
      <c r="AB611" s="43"/>
      <c r="AC611" s="43"/>
      <c r="AD611" s="43"/>
    </row>
    <row r="612" spans="1:30" ht="105" x14ac:dyDescent="0.25">
      <c r="A612" s="38" t="s">
        <v>2038</v>
      </c>
      <c r="B612" s="38" t="s">
        <v>468</v>
      </c>
      <c r="C612" s="39" t="s">
        <v>48</v>
      </c>
      <c r="D612" s="39" t="s">
        <v>2039</v>
      </c>
      <c r="E612" s="39" t="s">
        <v>108</v>
      </c>
      <c r="F612" s="38"/>
      <c r="G612" s="38"/>
      <c r="H612" s="38"/>
      <c r="I612" s="38"/>
      <c r="J612" s="40" t="s">
        <v>2040</v>
      </c>
      <c r="K612" s="38"/>
      <c r="L612" s="39" t="s">
        <v>2041</v>
      </c>
      <c r="M612" s="38"/>
      <c r="N612" s="38"/>
      <c r="O612" s="38"/>
      <c r="P612" s="38"/>
      <c r="Q612" s="40" t="s">
        <v>2040</v>
      </c>
      <c r="R612" s="38"/>
      <c r="S612" s="39" t="s">
        <v>2041</v>
      </c>
      <c r="T612" s="41">
        <v>1950</v>
      </c>
      <c r="U612" s="42">
        <v>44927</v>
      </c>
      <c r="V612" s="42">
        <v>46022</v>
      </c>
      <c r="W612" s="13">
        <v>0</v>
      </c>
      <c r="X612" s="43"/>
      <c r="Y612" s="43"/>
      <c r="Z612" s="43"/>
      <c r="AA612" s="44"/>
      <c r="AB612" s="43"/>
      <c r="AC612" s="43"/>
      <c r="AD612" s="43"/>
    </row>
    <row r="613" spans="1:30" ht="150" x14ac:dyDescent="0.25">
      <c r="A613" s="38" t="s">
        <v>2042</v>
      </c>
      <c r="B613" s="38" t="s">
        <v>468</v>
      </c>
      <c r="C613" s="39" t="s">
        <v>48</v>
      </c>
      <c r="D613" s="39" t="s">
        <v>2043</v>
      </c>
      <c r="E613" s="39" t="s">
        <v>50</v>
      </c>
      <c r="F613" s="38"/>
      <c r="G613" s="38"/>
      <c r="H613" s="38"/>
      <c r="I613" s="38"/>
      <c r="J613" s="40" t="s">
        <v>749</v>
      </c>
      <c r="K613" s="38"/>
      <c r="L613" s="39" t="s">
        <v>2044</v>
      </c>
      <c r="M613" s="38"/>
      <c r="N613" s="38"/>
      <c r="O613" s="38"/>
      <c r="P613" s="38"/>
      <c r="Q613" s="40" t="s">
        <v>749</v>
      </c>
      <c r="R613" s="38"/>
      <c r="S613" s="39" t="s">
        <v>2044</v>
      </c>
      <c r="T613" s="41">
        <v>13223.4</v>
      </c>
      <c r="U613" s="42">
        <v>44956</v>
      </c>
      <c r="V613" s="42">
        <v>46781</v>
      </c>
      <c r="W613" s="13">
        <v>661.17</v>
      </c>
      <c r="X613" s="43"/>
      <c r="Y613" s="43"/>
      <c r="Z613" s="43"/>
      <c r="AA613" s="44"/>
      <c r="AB613" s="43"/>
      <c r="AC613" s="43"/>
      <c r="AD613" s="43"/>
    </row>
    <row r="614" spans="1:30" ht="60" x14ac:dyDescent="0.25">
      <c r="A614" s="38" t="s">
        <v>2045</v>
      </c>
      <c r="B614" s="38" t="s">
        <v>468</v>
      </c>
      <c r="C614" s="39" t="s">
        <v>48</v>
      </c>
      <c r="D614" s="39" t="s">
        <v>2046</v>
      </c>
      <c r="E614" s="39" t="s">
        <v>108</v>
      </c>
      <c r="F614" s="38"/>
      <c r="G614" s="38"/>
      <c r="H614" s="38"/>
      <c r="I614" s="38"/>
      <c r="J614" s="40" t="s">
        <v>2047</v>
      </c>
      <c r="K614" s="38"/>
      <c r="L614" s="39" t="s">
        <v>2048</v>
      </c>
      <c r="M614" s="38"/>
      <c r="N614" s="38"/>
      <c r="O614" s="38"/>
      <c r="P614" s="38"/>
      <c r="Q614" s="40" t="s">
        <v>2047</v>
      </c>
      <c r="R614" s="38"/>
      <c r="S614" s="38" t="s">
        <v>2048</v>
      </c>
      <c r="T614" s="41">
        <v>998.37</v>
      </c>
      <c r="U614" s="42">
        <v>44908</v>
      </c>
      <c r="V614" s="42">
        <v>45272</v>
      </c>
      <c r="W614" s="13">
        <v>998.37</v>
      </c>
      <c r="X614" s="43"/>
      <c r="Y614" s="43"/>
      <c r="Z614" s="43"/>
      <c r="AA614" s="44"/>
      <c r="AB614" s="43"/>
      <c r="AC614" s="43"/>
      <c r="AD614" s="43"/>
    </row>
    <row r="615" spans="1:30" ht="75" x14ac:dyDescent="0.25">
      <c r="A615" s="38" t="s">
        <v>2049</v>
      </c>
      <c r="B615" s="38" t="s">
        <v>468</v>
      </c>
      <c r="C615" s="39" t="s">
        <v>48</v>
      </c>
      <c r="D615" s="39" t="s">
        <v>2050</v>
      </c>
      <c r="E615" s="39" t="s">
        <v>54</v>
      </c>
      <c r="F615" s="38"/>
      <c r="G615" s="38"/>
      <c r="H615" s="38"/>
      <c r="I615" s="38"/>
      <c r="J615" s="52" t="s">
        <v>484</v>
      </c>
      <c r="K615" s="43"/>
      <c r="L615" s="51" t="s">
        <v>1939</v>
      </c>
      <c r="M615" s="43"/>
      <c r="N615" s="38"/>
      <c r="O615" s="43"/>
      <c r="P615" s="43"/>
      <c r="Q615" s="40" t="s">
        <v>484</v>
      </c>
      <c r="R615" s="53"/>
      <c r="S615" s="43" t="s">
        <v>1939</v>
      </c>
      <c r="T615" s="41">
        <v>120540</v>
      </c>
      <c r="U615" s="42">
        <v>44958</v>
      </c>
      <c r="V615" s="42">
        <v>46053</v>
      </c>
      <c r="W615" s="13">
        <v>40180.129999999997</v>
      </c>
      <c r="X615" s="43"/>
      <c r="Y615" s="43"/>
      <c r="Z615" s="43"/>
      <c r="AA615" s="44"/>
      <c r="AB615" s="43"/>
      <c r="AC615" s="43"/>
      <c r="AD615" s="43"/>
    </row>
    <row r="616" spans="1:30" ht="105" x14ac:dyDescent="0.25">
      <c r="A616" s="38" t="s">
        <v>2051</v>
      </c>
      <c r="B616" s="38" t="s">
        <v>468</v>
      </c>
      <c r="C616" s="39" t="s">
        <v>48</v>
      </c>
      <c r="D616" s="39" t="s">
        <v>2052</v>
      </c>
      <c r="E616" s="39" t="s">
        <v>108</v>
      </c>
      <c r="F616" s="38"/>
      <c r="G616" s="38"/>
      <c r="H616" s="38"/>
      <c r="I616" s="38"/>
      <c r="J616" s="40" t="s">
        <v>2053</v>
      </c>
      <c r="K616" s="38"/>
      <c r="L616" s="39" t="s">
        <v>2054</v>
      </c>
      <c r="M616" s="38"/>
      <c r="N616" s="38"/>
      <c r="O616" s="38"/>
      <c r="P616" s="38"/>
      <c r="Q616" s="40" t="s">
        <v>2053</v>
      </c>
      <c r="R616" s="38"/>
      <c r="S616" s="39" t="s">
        <v>2054</v>
      </c>
      <c r="T616" s="41">
        <v>3950</v>
      </c>
      <c r="U616" s="42">
        <v>44886</v>
      </c>
      <c r="V616" s="42">
        <v>45107</v>
      </c>
      <c r="W616" s="13">
        <v>0</v>
      </c>
      <c r="X616" s="43"/>
      <c r="Y616" s="43"/>
      <c r="Z616" s="43"/>
      <c r="AA616" s="44"/>
      <c r="AB616" s="43"/>
      <c r="AC616" s="43"/>
      <c r="AD616" s="43"/>
    </row>
    <row r="617" spans="1:30" ht="105" x14ac:dyDescent="0.25">
      <c r="A617" s="38" t="s">
        <v>2055</v>
      </c>
      <c r="B617" s="38" t="s">
        <v>468</v>
      </c>
      <c r="C617" s="39" t="s">
        <v>48</v>
      </c>
      <c r="D617" s="39" t="s">
        <v>2056</v>
      </c>
      <c r="E617" s="39" t="s">
        <v>108</v>
      </c>
      <c r="F617" s="38"/>
      <c r="G617" s="38"/>
      <c r="H617" s="38"/>
      <c r="I617" s="38"/>
      <c r="J617" s="52" t="s">
        <v>2057</v>
      </c>
      <c r="K617" s="38"/>
      <c r="L617" s="39" t="s">
        <v>2058</v>
      </c>
      <c r="M617" s="38"/>
      <c r="N617" s="38"/>
      <c r="O617" s="38"/>
      <c r="P617" s="38"/>
      <c r="Q617" s="40" t="s">
        <v>2059</v>
      </c>
      <c r="R617" s="38"/>
      <c r="S617" s="39" t="s">
        <v>2060</v>
      </c>
      <c r="T617" s="13">
        <v>140000</v>
      </c>
      <c r="U617" s="42">
        <v>44972</v>
      </c>
      <c r="V617" s="42">
        <v>45702</v>
      </c>
      <c r="W617" s="13">
        <v>0</v>
      </c>
      <c r="X617" s="43"/>
      <c r="Y617" s="43"/>
      <c r="Z617" s="43"/>
      <c r="AA617" s="44"/>
      <c r="AB617" s="43"/>
      <c r="AC617" s="43"/>
      <c r="AD617" s="43"/>
    </row>
    <row r="618" spans="1:30" ht="120" x14ac:dyDescent="0.25">
      <c r="A618" s="24" t="s">
        <v>2061</v>
      </c>
      <c r="B618" s="38" t="s">
        <v>468</v>
      </c>
      <c r="C618" s="39" t="s">
        <v>48</v>
      </c>
      <c r="D618" s="27" t="s">
        <v>2062</v>
      </c>
      <c r="E618" s="39" t="s">
        <v>108</v>
      </c>
      <c r="J618" s="40" t="s">
        <v>2030</v>
      </c>
      <c r="K618" s="38"/>
      <c r="L618" s="39" t="s">
        <v>2031</v>
      </c>
      <c r="M618" s="38"/>
      <c r="N618" s="38"/>
      <c r="O618" s="38"/>
      <c r="P618" s="38"/>
      <c r="Q618" s="40" t="s">
        <v>2030</v>
      </c>
      <c r="R618" s="38"/>
      <c r="S618" s="39" t="s">
        <v>2031</v>
      </c>
      <c r="T618" s="13">
        <v>650</v>
      </c>
      <c r="U618" s="23">
        <v>44951</v>
      </c>
      <c r="V618" s="23">
        <v>44985</v>
      </c>
      <c r="W618" s="13">
        <v>650</v>
      </c>
      <c r="X618" s="43"/>
      <c r="Y618" s="43"/>
      <c r="Z618" s="43"/>
    </row>
    <row r="619" spans="1:30" ht="150" x14ac:dyDescent="0.25">
      <c r="A619" s="24" t="s">
        <v>1673</v>
      </c>
      <c r="B619" s="38" t="s">
        <v>468</v>
      </c>
      <c r="C619" s="39" t="s">
        <v>48</v>
      </c>
      <c r="D619" s="27" t="s">
        <v>1674</v>
      </c>
      <c r="E619" s="27" t="s">
        <v>50</v>
      </c>
      <c r="J619" s="35" t="s">
        <v>105</v>
      </c>
      <c r="K619" s="16"/>
      <c r="L619" s="16" t="s">
        <v>106</v>
      </c>
      <c r="P619" s="16"/>
      <c r="Q619" s="35" t="s">
        <v>105</v>
      </c>
      <c r="S619" s="16" t="s">
        <v>106</v>
      </c>
      <c r="T619" s="13">
        <v>156022</v>
      </c>
      <c r="U619" s="23">
        <v>45200</v>
      </c>
      <c r="V619" s="23">
        <v>45382</v>
      </c>
      <c r="W619" s="13">
        <v>0</v>
      </c>
      <c r="X619" s="43"/>
      <c r="Y619" s="43"/>
      <c r="Z619" s="43"/>
    </row>
    <row r="620" spans="1:30" ht="180" x14ac:dyDescent="0.25">
      <c r="A620" s="24" t="s">
        <v>2063</v>
      </c>
      <c r="B620" s="38" t="s">
        <v>468</v>
      </c>
      <c r="C620" s="39" t="s">
        <v>48</v>
      </c>
      <c r="D620" s="27" t="s">
        <v>2064</v>
      </c>
      <c r="E620" s="27" t="s">
        <v>108</v>
      </c>
      <c r="J620" s="35" t="s">
        <v>2065</v>
      </c>
      <c r="L620" s="27" t="s">
        <v>2066</v>
      </c>
      <c r="Q620" s="35" t="s">
        <v>2065</v>
      </c>
      <c r="S620" s="27" t="s">
        <v>2066</v>
      </c>
      <c r="T620" s="13">
        <v>495</v>
      </c>
      <c r="U620" s="23">
        <v>44998</v>
      </c>
      <c r="V620" s="23">
        <v>45291</v>
      </c>
      <c r="W620" s="13">
        <v>495</v>
      </c>
      <c r="X620" s="43"/>
      <c r="Y620" s="43"/>
      <c r="Z620" s="43"/>
    </row>
    <row r="621" spans="1:30" ht="120" x14ac:dyDescent="0.25">
      <c r="A621" s="24" t="s">
        <v>2067</v>
      </c>
      <c r="B621" s="38" t="s">
        <v>468</v>
      </c>
      <c r="C621" s="39" t="s">
        <v>48</v>
      </c>
      <c r="D621" s="27" t="s">
        <v>2068</v>
      </c>
      <c r="E621" s="27" t="s">
        <v>108</v>
      </c>
      <c r="J621" s="22" t="s">
        <v>2069</v>
      </c>
      <c r="L621" s="27" t="s">
        <v>2070</v>
      </c>
      <c r="Q621" s="22" t="s">
        <v>2069</v>
      </c>
      <c r="R621" s="27"/>
      <c r="S621" s="27" t="s">
        <v>2070</v>
      </c>
      <c r="T621" s="13">
        <v>300</v>
      </c>
      <c r="U621" s="23">
        <v>44986</v>
      </c>
      <c r="V621" s="23">
        <v>45016</v>
      </c>
      <c r="W621" s="13">
        <v>300</v>
      </c>
      <c r="X621" s="43"/>
      <c r="Y621" s="43"/>
      <c r="Z621" s="43"/>
    </row>
    <row r="622" spans="1:30" ht="135" x14ac:dyDescent="0.25">
      <c r="A622" s="24" t="s">
        <v>2071</v>
      </c>
      <c r="B622" s="38" t="s">
        <v>468</v>
      </c>
      <c r="C622" s="39" t="s">
        <v>48</v>
      </c>
      <c r="D622" s="27" t="s">
        <v>2072</v>
      </c>
      <c r="E622" s="27" t="s">
        <v>50</v>
      </c>
      <c r="J622" s="22" t="s">
        <v>1961</v>
      </c>
      <c r="L622" s="27" t="s">
        <v>2073</v>
      </c>
      <c r="Q622" s="21" t="s">
        <v>1961</v>
      </c>
      <c r="S622" s="27" t="s">
        <v>1962</v>
      </c>
      <c r="T622" s="13">
        <v>140000</v>
      </c>
      <c r="U622" s="23">
        <v>45139</v>
      </c>
      <c r="V622" s="23">
        <v>45869</v>
      </c>
      <c r="W622" s="13">
        <v>0</v>
      </c>
      <c r="X622" s="43"/>
      <c r="Y622" s="43"/>
      <c r="Z622" s="43"/>
    </row>
    <row r="623" spans="1:30" ht="75" x14ac:dyDescent="0.25">
      <c r="A623" s="24" t="s">
        <v>2074</v>
      </c>
      <c r="B623" s="38" t="s">
        <v>468</v>
      </c>
      <c r="C623" s="39" t="s">
        <v>48</v>
      </c>
      <c r="D623" s="27" t="s">
        <v>2075</v>
      </c>
      <c r="E623" s="39" t="s">
        <v>54</v>
      </c>
      <c r="K623" s="38" t="s">
        <v>2009</v>
      </c>
      <c r="L623" s="27" t="s">
        <v>2076</v>
      </c>
      <c r="R623" s="38" t="s">
        <v>2009</v>
      </c>
      <c r="S623" s="27" t="s">
        <v>2076</v>
      </c>
      <c r="T623" s="13">
        <v>5036</v>
      </c>
      <c r="U623" s="23">
        <v>44981</v>
      </c>
      <c r="V623" s="23">
        <v>45345</v>
      </c>
      <c r="W623" s="13">
        <v>5036</v>
      </c>
      <c r="X623" s="43"/>
      <c r="Y623" s="43"/>
      <c r="Z623" s="43"/>
      <c r="AA623" s="109"/>
    </row>
    <row r="624" spans="1:30" ht="90" x14ac:dyDescent="0.25">
      <c r="A624" s="24" t="s">
        <v>2077</v>
      </c>
      <c r="B624" s="38" t="s">
        <v>468</v>
      </c>
      <c r="C624" s="39" t="s">
        <v>48</v>
      </c>
      <c r="D624" s="39" t="s">
        <v>2078</v>
      </c>
      <c r="E624" s="27" t="s">
        <v>108</v>
      </c>
      <c r="J624" s="22" t="s">
        <v>2079</v>
      </c>
      <c r="L624" s="27" t="s">
        <v>2080</v>
      </c>
      <c r="Q624" s="22" t="s">
        <v>2079</v>
      </c>
      <c r="R624" s="27"/>
      <c r="S624" s="27" t="s">
        <v>2080</v>
      </c>
      <c r="T624" s="13">
        <v>6538.2</v>
      </c>
      <c r="U624" s="23">
        <v>44977</v>
      </c>
      <c r="V624" s="23">
        <v>45013</v>
      </c>
      <c r="W624" s="13">
        <v>6538.2</v>
      </c>
      <c r="X624" s="43"/>
      <c r="Y624" s="43"/>
      <c r="Z624" s="43"/>
    </row>
    <row r="625" spans="1:30" ht="225" x14ac:dyDescent="0.25">
      <c r="A625" s="16" t="s">
        <v>2081</v>
      </c>
      <c r="B625" s="38" t="s">
        <v>468</v>
      </c>
      <c r="C625" s="22" t="s">
        <v>48</v>
      </c>
      <c r="D625" s="27" t="s">
        <v>2082</v>
      </c>
      <c r="E625" s="22" t="s">
        <v>50</v>
      </c>
      <c r="F625" s="64"/>
      <c r="G625" s="43"/>
      <c r="H625" s="39"/>
      <c r="I625" s="39"/>
      <c r="J625" s="43"/>
      <c r="K625" s="43"/>
      <c r="L625" s="51"/>
      <c r="M625" s="64" t="s">
        <v>868</v>
      </c>
      <c r="N625" s="43"/>
      <c r="O625" s="39" t="s">
        <v>869</v>
      </c>
      <c r="P625" s="39" t="s">
        <v>604</v>
      </c>
      <c r="Q625" s="66"/>
      <c r="S625" s="16"/>
      <c r="T625" s="33">
        <v>6944.1</v>
      </c>
      <c r="U625" s="42">
        <v>45047</v>
      </c>
      <c r="V625" s="42">
        <v>45412</v>
      </c>
      <c r="W625" s="13">
        <v>0</v>
      </c>
      <c r="X625" s="16"/>
      <c r="AA625" s="66"/>
      <c r="AB625" s="16"/>
      <c r="AC625" s="16"/>
      <c r="AD625" s="16"/>
    </row>
    <row r="626" spans="1:30" ht="75" x14ac:dyDescent="0.25">
      <c r="A626" s="38" t="s">
        <v>2083</v>
      </c>
      <c r="B626" s="38" t="s">
        <v>468</v>
      </c>
      <c r="C626" s="39" t="s">
        <v>48</v>
      </c>
      <c r="D626" s="39" t="s">
        <v>2084</v>
      </c>
      <c r="E626" s="39" t="s">
        <v>108</v>
      </c>
      <c r="F626" s="38"/>
      <c r="G626" s="38"/>
      <c r="H626" s="38"/>
      <c r="I626" s="38"/>
      <c r="J626" s="40" t="s">
        <v>2085</v>
      </c>
      <c r="K626" s="38"/>
      <c r="L626" s="39" t="s">
        <v>2086</v>
      </c>
      <c r="M626" s="38"/>
      <c r="N626" s="38"/>
      <c r="O626" s="38"/>
      <c r="P626" s="38"/>
      <c r="Q626" s="40" t="s">
        <v>2085</v>
      </c>
      <c r="R626" s="38"/>
      <c r="S626" s="39" t="s">
        <v>2087</v>
      </c>
      <c r="T626" s="41">
        <v>1235</v>
      </c>
      <c r="U626" s="42">
        <v>45082</v>
      </c>
      <c r="V626" s="42">
        <v>45085</v>
      </c>
      <c r="W626" s="13">
        <v>910</v>
      </c>
      <c r="X626" s="43"/>
      <c r="Y626" s="43"/>
      <c r="Z626" s="43"/>
      <c r="AA626" s="77"/>
      <c r="AB626" s="43"/>
      <c r="AC626" s="43"/>
      <c r="AD626" s="43"/>
    </row>
    <row r="627" spans="1:30" ht="105" x14ac:dyDescent="0.25">
      <c r="A627" s="24" t="s">
        <v>2088</v>
      </c>
      <c r="B627" s="38" t="s">
        <v>468</v>
      </c>
      <c r="C627" s="39" t="s">
        <v>48</v>
      </c>
      <c r="D627" s="27" t="s">
        <v>2089</v>
      </c>
      <c r="E627" s="39" t="s">
        <v>108</v>
      </c>
      <c r="J627" s="22" t="s">
        <v>2090</v>
      </c>
      <c r="L627" s="27" t="s">
        <v>2091</v>
      </c>
      <c r="O627" s="39"/>
      <c r="P627" s="39"/>
      <c r="Q627" s="21" t="s">
        <v>2090</v>
      </c>
      <c r="S627" s="27" t="s">
        <v>2091</v>
      </c>
      <c r="T627" s="13">
        <v>2396</v>
      </c>
      <c r="U627" s="23">
        <v>45069</v>
      </c>
      <c r="V627" s="23">
        <v>45799</v>
      </c>
      <c r="W627" s="13">
        <v>2396</v>
      </c>
      <c r="X627" s="43"/>
      <c r="Y627" s="43"/>
      <c r="Z627" s="43"/>
      <c r="AA627" s="77"/>
    </row>
    <row r="628" spans="1:30" ht="105" x14ac:dyDescent="0.25">
      <c r="A628" s="24" t="s">
        <v>2092</v>
      </c>
      <c r="B628" s="38" t="s">
        <v>468</v>
      </c>
      <c r="C628" s="39" t="s">
        <v>48</v>
      </c>
      <c r="D628" s="27" t="s">
        <v>2093</v>
      </c>
      <c r="E628" s="27" t="s">
        <v>108</v>
      </c>
      <c r="J628" s="22" t="s">
        <v>2094</v>
      </c>
      <c r="L628" s="27" t="s">
        <v>2095</v>
      </c>
      <c r="Q628" s="22" t="s">
        <v>2094</v>
      </c>
      <c r="R628" s="27"/>
      <c r="S628" s="27" t="s">
        <v>2095</v>
      </c>
      <c r="T628" s="13">
        <v>337.34</v>
      </c>
      <c r="U628" s="23">
        <v>45096</v>
      </c>
      <c r="V628" s="23">
        <v>45291</v>
      </c>
      <c r="W628" s="13">
        <v>337.34</v>
      </c>
      <c r="X628" s="43"/>
      <c r="Y628" s="43"/>
      <c r="Z628" s="43"/>
      <c r="AA628" s="77"/>
    </row>
    <row r="629" spans="1:30" ht="105" x14ac:dyDescent="0.25">
      <c r="A629" s="24" t="s">
        <v>2096</v>
      </c>
      <c r="B629" s="38" t="s">
        <v>468</v>
      </c>
      <c r="C629" s="39" t="s">
        <v>48</v>
      </c>
      <c r="D629" s="27" t="s">
        <v>2097</v>
      </c>
      <c r="E629" s="27" t="s">
        <v>54</v>
      </c>
      <c r="J629" s="40" t="s">
        <v>1971</v>
      </c>
      <c r="K629" s="38"/>
      <c r="L629" s="39" t="s">
        <v>1972</v>
      </c>
      <c r="Q629" s="40" t="s">
        <v>1971</v>
      </c>
      <c r="R629" s="38"/>
      <c r="S629" s="39" t="s">
        <v>1972</v>
      </c>
      <c r="T629" s="13">
        <v>8350</v>
      </c>
      <c r="U629" s="23">
        <v>45116</v>
      </c>
      <c r="V629" s="23">
        <v>45846</v>
      </c>
      <c r="W629" s="13">
        <v>8350</v>
      </c>
      <c r="X629" s="43"/>
      <c r="Y629" s="43"/>
      <c r="Z629" s="43"/>
    </row>
    <row r="630" spans="1:30" ht="135" x14ac:dyDescent="0.25">
      <c r="A630" s="16" t="s">
        <v>2098</v>
      </c>
      <c r="B630" s="38" t="s">
        <v>468</v>
      </c>
      <c r="C630" s="39" t="s">
        <v>48</v>
      </c>
      <c r="D630" s="27" t="s">
        <v>2099</v>
      </c>
      <c r="E630" s="27" t="s">
        <v>164</v>
      </c>
      <c r="F630" s="16"/>
      <c r="G630" s="16"/>
      <c r="H630" s="16"/>
      <c r="I630" s="16"/>
      <c r="J630" s="35"/>
      <c r="K630" s="16"/>
      <c r="L630" s="16"/>
      <c r="M630" s="16"/>
      <c r="P630" s="16"/>
      <c r="Q630" s="66"/>
      <c r="S630" s="16"/>
      <c r="U630" s="25"/>
      <c r="V630" s="25"/>
      <c r="W630" s="16"/>
      <c r="X630" s="16"/>
      <c r="AA630" s="16"/>
      <c r="AB630" s="16"/>
      <c r="AC630" s="16"/>
      <c r="AD630" s="16"/>
    </row>
    <row r="631" spans="1:30" ht="120" x14ac:dyDescent="0.25">
      <c r="A631" s="24" t="s">
        <v>2100</v>
      </c>
      <c r="B631" s="38" t="s">
        <v>468</v>
      </c>
      <c r="C631" s="39" t="s">
        <v>48</v>
      </c>
      <c r="D631" s="27" t="s">
        <v>2101</v>
      </c>
      <c r="E631" s="27" t="s">
        <v>108</v>
      </c>
      <c r="J631" s="22" t="s">
        <v>194</v>
      </c>
      <c r="L631" s="27" t="s">
        <v>2102</v>
      </c>
      <c r="Q631" s="22" t="s">
        <v>194</v>
      </c>
      <c r="R631" s="27"/>
      <c r="S631" s="27" t="s">
        <v>2102</v>
      </c>
      <c r="T631" s="13">
        <v>300</v>
      </c>
      <c r="U631" s="23">
        <v>45128</v>
      </c>
      <c r="V631" s="23">
        <v>45169</v>
      </c>
      <c r="W631" s="13">
        <v>300</v>
      </c>
      <c r="X631" s="43"/>
      <c r="Y631" s="43"/>
      <c r="Z631" s="43"/>
    </row>
    <row r="632" spans="1:30" ht="60" x14ac:dyDescent="0.25">
      <c r="A632" s="24" t="s">
        <v>2103</v>
      </c>
      <c r="B632" s="38" t="s">
        <v>468</v>
      </c>
      <c r="C632" s="39" t="s">
        <v>48</v>
      </c>
      <c r="D632" s="27" t="s">
        <v>2104</v>
      </c>
      <c r="E632" s="27" t="s">
        <v>108</v>
      </c>
      <c r="J632" s="22" t="s">
        <v>506</v>
      </c>
      <c r="L632" s="27" t="s">
        <v>2105</v>
      </c>
      <c r="Q632" s="22" t="s">
        <v>506</v>
      </c>
      <c r="R632" s="27"/>
      <c r="S632" s="27" t="s">
        <v>2105</v>
      </c>
      <c r="T632" s="13">
        <v>4872</v>
      </c>
      <c r="U632" s="23">
        <v>45261</v>
      </c>
      <c r="V632" s="23">
        <v>45991</v>
      </c>
      <c r="W632" s="13">
        <v>0</v>
      </c>
      <c r="X632" s="43"/>
      <c r="Y632" s="43"/>
      <c r="Z632" s="43"/>
    </row>
    <row r="633" spans="1:30" ht="135" x14ac:dyDescent="0.25">
      <c r="A633" s="24" t="s">
        <v>2106</v>
      </c>
      <c r="B633" s="16">
        <v>80204250585</v>
      </c>
      <c r="C633" s="27" t="s">
        <v>2107</v>
      </c>
      <c r="D633" s="27" t="s">
        <v>2108</v>
      </c>
      <c r="E633" s="27" t="s">
        <v>108</v>
      </c>
      <c r="J633" s="22">
        <v>10209790152</v>
      </c>
      <c r="L633" s="27" t="s">
        <v>2109</v>
      </c>
      <c r="Q633" s="21">
        <v>10209790152</v>
      </c>
      <c r="S633" s="27" t="s">
        <v>2109</v>
      </c>
      <c r="T633" s="13">
        <v>39525</v>
      </c>
      <c r="U633" s="23">
        <v>44044</v>
      </c>
      <c r="V633" s="23">
        <v>45138</v>
      </c>
      <c r="W633" s="13">
        <v>39525</v>
      </c>
    </row>
    <row r="634" spans="1:30" ht="135" x14ac:dyDescent="0.25">
      <c r="A634" s="16" t="s">
        <v>2106</v>
      </c>
      <c r="B634" s="21" t="s">
        <v>468</v>
      </c>
      <c r="C634" s="22" t="s">
        <v>2107</v>
      </c>
      <c r="D634" s="27" t="s">
        <v>2108</v>
      </c>
      <c r="E634" s="22" t="s">
        <v>108</v>
      </c>
      <c r="F634" s="16"/>
      <c r="G634" s="16"/>
      <c r="H634" s="16"/>
      <c r="I634" s="16"/>
      <c r="J634" s="21">
        <v>10209790152</v>
      </c>
      <c r="K634" s="16"/>
      <c r="L634" s="27" t="s">
        <v>2109</v>
      </c>
      <c r="M634" s="16"/>
      <c r="P634" s="16"/>
      <c r="Q634" s="21">
        <v>10209790152</v>
      </c>
      <c r="S634" s="27" t="s">
        <v>2109</v>
      </c>
      <c r="T634" s="13">
        <v>39525</v>
      </c>
      <c r="U634" s="23">
        <v>44044</v>
      </c>
      <c r="V634" s="23">
        <v>45138</v>
      </c>
      <c r="W634" s="13">
        <v>39525</v>
      </c>
      <c r="X634" s="16"/>
      <c r="Z634" s="27"/>
    </row>
    <row r="635" spans="1:30" ht="105" x14ac:dyDescent="0.25">
      <c r="A635" s="24" t="s">
        <v>2110</v>
      </c>
      <c r="B635" s="16" t="s">
        <v>468</v>
      </c>
      <c r="C635" s="27" t="s">
        <v>2107</v>
      </c>
      <c r="D635" s="27" t="s">
        <v>2111</v>
      </c>
      <c r="E635" s="27" t="s">
        <v>108</v>
      </c>
      <c r="J635" s="22" t="s">
        <v>2112</v>
      </c>
      <c r="L635" s="27" t="s">
        <v>2113</v>
      </c>
      <c r="Q635" s="21" t="s">
        <v>2112</v>
      </c>
      <c r="S635" s="27" t="s">
        <v>2113</v>
      </c>
      <c r="T635" s="13">
        <v>4000</v>
      </c>
      <c r="U635" s="23">
        <v>44620</v>
      </c>
      <c r="V635" s="23">
        <v>44985</v>
      </c>
      <c r="W635" s="13">
        <v>4000</v>
      </c>
    </row>
    <row r="636" spans="1:30" ht="60" x14ac:dyDescent="0.25">
      <c r="A636" s="24" t="s">
        <v>2114</v>
      </c>
      <c r="B636" s="16" t="s">
        <v>468</v>
      </c>
      <c r="C636" s="27" t="s">
        <v>2107</v>
      </c>
      <c r="D636" s="27" t="s">
        <v>2115</v>
      </c>
      <c r="E636" s="27" t="s">
        <v>108</v>
      </c>
      <c r="J636" s="22" t="s">
        <v>484</v>
      </c>
      <c r="L636" s="27" t="s">
        <v>722</v>
      </c>
      <c r="Q636" s="21" t="s">
        <v>484</v>
      </c>
      <c r="S636" s="27" t="s">
        <v>722</v>
      </c>
      <c r="T636" s="13">
        <v>380.76</v>
      </c>
      <c r="U636" s="23">
        <v>44580</v>
      </c>
      <c r="V636" s="23">
        <v>44946</v>
      </c>
      <c r="W636" s="13">
        <v>380.76</v>
      </c>
    </row>
    <row r="637" spans="1:30" ht="105" x14ac:dyDescent="0.25">
      <c r="A637" s="24" t="s">
        <v>2116</v>
      </c>
      <c r="B637" s="16" t="s">
        <v>468</v>
      </c>
      <c r="C637" s="27" t="s">
        <v>2107</v>
      </c>
      <c r="D637" s="27" t="s">
        <v>2117</v>
      </c>
      <c r="E637" s="27" t="s">
        <v>108</v>
      </c>
      <c r="J637" s="22">
        <v>10209790152</v>
      </c>
      <c r="L637" s="27" t="s">
        <v>2118</v>
      </c>
      <c r="Q637" s="21">
        <v>10209790152</v>
      </c>
      <c r="S637" s="27" t="s">
        <v>2118</v>
      </c>
      <c r="T637" s="13">
        <v>3500</v>
      </c>
      <c r="U637" s="23">
        <v>44616</v>
      </c>
      <c r="V637" s="23">
        <v>45138</v>
      </c>
      <c r="W637" s="13">
        <v>3500</v>
      </c>
    </row>
    <row r="638" spans="1:30" ht="75" x14ac:dyDescent="0.25">
      <c r="A638" s="24" t="s">
        <v>2119</v>
      </c>
      <c r="B638" s="16" t="s">
        <v>468</v>
      </c>
      <c r="C638" s="27" t="s">
        <v>2107</v>
      </c>
      <c r="D638" s="27" t="s">
        <v>2120</v>
      </c>
      <c r="E638" s="27" t="s">
        <v>108</v>
      </c>
      <c r="J638" s="22" t="s">
        <v>660</v>
      </c>
      <c r="L638" s="27" t="s">
        <v>661</v>
      </c>
      <c r="Q638" s="21" t="s">
        <v>660</v>
      </c>
      <c r="S638" s="27" t="s">
        <v>661</v>
      </c>
      <c r="T638" s="13">
        <v>1275</v>
      </c>
      <c r="U638" s="23">
        <v>44692</v>
      </c>
      <c r="V638" s="23">
        <v>45071</v>
      </c>
      <c r="W638" s="13">
        <v>1275</v>
      </c>
    </row>
    <row r="639" spans="1:30" ht="75" x14ac:dyDescent="0.25">
      <c r="A639" s="24" t="s">
        <v>2121</v>
      </c>
      <c r="B639" s="16" t="s">
        <v>468</v>
      </c>
      <c r="C639" s="27" t="s">
        <v>2107</v>
      </c>
      <c r="D639" s="27" t="s">
        <v>2122</v>
      </c>
      <c r="E639" s="27" t="s">
        <v>108</v>
      </c>
      <c r="J639" s="22" t="s">
        <v>660</v>
      </c>
      <c r="L639" s="27" t="s">
        <v>661</v>
      </c>
      <c r="Q639" s="21" t="s">
        <v>660</v>
      </c>
      <c r="S639" s="27" t="s">
        <v>661</v>
      </c>
      <c r="T639" s="13">
        <v>1440</v>
      </c>
      <c r="U639" s="23">
        <v>44692</v>
      </c>
      <c r="V639" s="23">
        <v>45071</v>
      </c>
      <c r="W639" s="13">
        <v>1440</v>
      </c>
    </row>
    <row r="640" spans="1:30" ht="75" x14ac:dyDescent="0.25">
      <c r="A640" s="24" t="s">
        <v>2123</v>
      </c>
      <c r="B640" s="16" t="s">
        <v>468</v>
      </c>
      <c r="C640" s="27" t="s">
        <v>2107</v>
      </c>
      <c r="D640" s="27" t="s">
        <v>2124</v>
      </c>
      <c r="E640" s="27" t="s">
        <v>108</v>
      </c>
      <c r="J640" s="22" t="s">
        <v>660</v>
      </c>
      <c r="L640" s="27" t="s">
        <v>661</v>
      </c>
      <c r="Q640" s="21" t="s">
        <v>660</v>
      </c>
      <c r="S640" s="27" t="s">
        <v>661</v>
      </c>
      <c r="T640" s="13">
        <v>738</v>
      </c>
      <c r="U640" s="23">
        <v>44692</v>
      </c>
      <c r="V640" s="23">
        <v>45071</v>
      </c>
      <c r="W640" s="13">
        <v>738</v>
      </c>
    </row>
    <row r="641" spans="1:23" ht="60" x14ac:dyDescent="0.25">
      <c r="A641" s="24" t="s">
        <v>2125</v>
      </c>
      <c r="B641" s="16" t="s">
        <v>468</v>
      </c>
      <c r="C641" s="27" t="s">
        <v>2107</v>
      </c>
      <c r="D641" s="27" t="s">
        <v>2126</v>
      </c>
      <c r="E641" s="27" t="s">
        <v>108</v>
      </c>
      <c r="J641" s="22" t="s">
        <v>660</v>
      </c>
      <c r="L641" s="27" t="s">
        <v>661</v>
      </c>
      <c r="Q641" s="21" t="s">
        <v>660</v>
      </c>
      <c r="S641" s="27" t="s">
        <v>661</v>
      </c>
      <c r="T641" s="13">
        <v>775</v>
      </c>
      <c r="U641" s="23">
        <v>44692</v>
      </c>
      <c r="V641" s="23">
        <v>45071</v>
      </c>
      <c r="W641" s="13">
        <v>775</v>
      </c>
    </row>
    <row r="642" spans="1:23" ht="60" x14ac:dyDescent="0.25">
      <c r="A642" s="24" t="s">
        <v>2127</v>
      </c>
      <c r="B642" s="16" t="s">
        <v>468</v>
      </c>
      <c r="C642" s="27" t="s">
        <v>2107</v>
      </c>
      <c r="D642" s="27" t="s">
        <v>2128</v>
      </c>
      <c r="E642" s="27" t="s">
        <v>108</v>
      </c>
      <c r="J642" s="22" t="s">
        <v>660</v>
      </c>
      <c r="L642" s="27" t="s">
        <v>661</v>
      </c>
      <c r="Q642" s="21" t="s">
        <v>660</v>
      </c>
      <c r="S642" s="27" t="s">
        <v>661</v>
      </c>
      <c r="T642" s="13">
        <v>5524</v>
      </c>
      <c r="U642" s="23">
        <v>44701</v>
      </c>
      <c r="V642" s="23">
        <v>45066</v>
      </c>
      <c r="W642" s="13">
        <v>5524</v>
      </c>
    </row>
    <row r="643" spans="1:23" ht="75" x14ac:dyDescent="0.25">
      <c r="A643" s="24" t="s">
        <v>2129</v>
      </c>
      <c r="B643" s="16" t="s">
        <v>468</v>
      </c>
      <c r="C643" s="27" t="s">
        <v>2107</v>
      </c>
      <c r="D643" s="27" t="s">
        <v>2130</v>
      </c>
      <c r="E643" s="27" t="s">
        <v>108</v>
      </c>
      <c r="J643" s="22">
        <v>97769690583</v>
      </c>
      <c r="L643" s="27" t="s">
        <v>2131</v>
      </c>
      <c r="Q643" s="21">
        <v>97769690583</v>
      </c>
      <c r="S643" s="27" t="s">
        <v>2131</v>
      </c>
      <c r="T643" s="13">
        <v>9000</v>
      </c>
      <c r="U643" s="23">
        <v>44774</v>
      </c>
      <c r="V643" s="23">
        <v>45869</v>
      </c>
      <c r="W643" s="13">
        <v>3000</v>
      </c>
    </row>
    <row r="644" spans="1:23" ht="45" x14ac:dyDescent="0.25">
      <c r="A644" s="24" t="s">
        <v>2132</v>
      </c>
      <c r="B644" s="16" t="s">
        <v>468</v>
      </c>
      <c r="C644" s="27" t="s">
        <v>2107</v>
      </c>
      <c r="D644" s="27" t="s">
        <v>2133</v>
      </c>
      <c r="E644" s="27" t="s">
        <v>108</v>
      </c>
      <c r="J644" s="22" t="s">
        <v>660</v>
      </c>
      <c r="L644" s="27" t="s">
        <v>661</v>
      </c>
      <c r="Q644" s="21" t="s">
        <v>660</v>
      </c>
      <c r="S644" s="27" t="s">
        <v>661</v>
      </c>
      <c r="T644" s="13">
        <v>250</v>
      </c>
      <c r="U644" s="23">
        <v>44774</v>
      </c>
      <c r="V644" s="23">
        <v>45138</v>
      </c>
      <c r="W644" s="13">
        <v>250</v>
      </c>
    </row>
    <row r="645" spans="1:23" ht="60" x14ac:dyDescent="0.25">
      <c r="A645" s="24" t="s">
        <v>1373</v>
      </c>
      <c r="B645" s="16" t="s">
        <v>468</v>
      </c>
      <c r="C645" s="27" t="s">
        <v>2107</v>
      </c>
      <c r="D645" s="27" t="s">
        <v>2134</v>
      </c>
      <c r="E645" s="27" t="s">
        <v>54</v>
      </c>
      <c r="J645" s="22">
        <v>8648741000</v>
      </c>
      <c r="L645" s="27" t="s">
        <v>2135</v>
      </c>
      <c r="Q645" s="21" t="s">
        <v>2136</v>
      </c>
      <c r="S645" s="27" t="s">
        <v>2135</v>
      </c>
      <c r="T645" s="13">
        <v>17700</v>
      </c>
      <c r="U645" s="23">
        <v>44835</v>
      </c>
      <c r="V645" s="23">
        <v>45930</v>
      </c>
      <c r="W645" s="13">
        <v>5900</v>
      </c>
    </row>
    <row r="646" spans="1:23" ht="45" x14ac:dyDescent="0.25">
      <c r="A646" s="24" t="s">
        <v>2137</v>
      </c>
      <c r="B646" s="16" t="s">
        <v>468</v>
      </c>
      <c r="C646" s="27" t="s">
        <v>2107</v>
      </c>
      <c r="D646" s="27" t="s">
        <v>2138</v>
      </c>
      <c r="E646" s="27" t="s">
        <v>108</v>
      </c>
      <c r="J646" s="22" t="s">
        <v>660</v>
      </c>
      <c r="L646" s="27" t="s">
        <v>661</v>
      </c>
      <c r="Q646" s="21" t="s">
        <v>660</v>
      </c>
      <c r="S646" s="27" t="s">
        <v>661</v>
      </c>
      <c r="T646" s="13">
        <v>3131.75</v>
      </c>
      <c r="U646" s="23">
        <v>44770</v>
      </c>
      <c r="V646" s="23">
        <v>44938</v>
      </c>
      <c r="W646" s="13">
        <v>3676.45</v>
      </c>
    </row>
    <row r="647" spans="1:23" ht="90" x14ac:dyDescent="0.25">
      <c r="A647" s="24" t="s">
        <v>2139</v>
      </c>
      <c r="B647" s="16" t="s">
        <v>468</v>
      </c>
      <c r="C647" s="27" t="s">
        <v>2107</v>
      </c>
      <c r="D647" s="27" t="s">
        <v>2140</v>
      </c>
      <c r="E647" s="27" t="s">
        <v>54</v>
      </c>
      <c r="J647" s="22" t="s">
        <v>1329</v>
      </c>
      <c r="L647" s="27" t="s">
        <v>2141</v>
      </c>
      <c r="Q647" s="21" t="s">
        <v>1329</v>
      </c>
      <c r="S647" s="27" t="s">
        <v>2141</v>
      </c>
      <c r="T647" s="13">
        <v>2400</v>
      </c>
      <c r="U647" s="23">
        <v>44882</v>
      </c>
      <c r="V647" s="23">
        <v>45991</v>
      </c>
      <c r="W647" s="13">
        <v>800</v>
      </c>
    </row>
    <row r="648" spans="1:23" ht="75" x14ac:dyDescent="0.25">
      <c r="A648" s="24" t="s">
        <v>2142</v>
      </c>
      <c r="B648" s="16" t="s">
        <v>468</v>
      </c>
      <c r="C648" s="27" t="s">
        <v>2107</v>
      </c>
      <c r="D648" s="27" t="s">
        <v>2143</v>
      </c>
      <c r="E648" s="27" t="s">
        <v>108</v>
      </c>
      <c r="J648" s="22" t="s">
        <v>2144</v>
      </c>
      <c r="L648" s="27" t="s">
        <v>2145</v>
      </c>
      <c r="Q648" s="21" t="s">
        <v>2144</v>
      </c>
      <c r="S648" s="27" t="s">
        <v>2145</v>
      </c>
      <c r="T648" s="13">
        <v>4200</v>
      </c>
      <c r="U648" s="23">
        <v>44916</v>
      </c>
      <c r="V648" s="23">
        <v>45291</v>
      </c>
      <c r="W648" s="13">
        <v>4200</v>
      </c>
    </row>
    <row r="649" spans="1:23" ht="90" x14ac:dyDescent="0.25">
      <c r="A649" s="24" t="s">
        <v>2146</v>
      </c>
      <c r="B649" s="16" t="s">
        <v>468</v>
      </c>
      <c r="C649" s="27" t="s">
        <v>2107</v>
      </c>
      <c r="D649" s="27" t="s">
        <v>2147</v>
      </c>
      <c r="E649" s="27" t="s">
        <v>108</v>
      </c>
      <c r="J649" s="22" t="s">
        <v>2144</v>
      </c>
      <c r="L649" s="27" t="s">
        <v>2145</v>
      </c>
      <c r="Q649" s="21" t="s">
        <v>2144</v>
      </c>
      <c r="S649" s="27" t="s">
        <v>2145</v>
      </c>
      <c r="T649" s="13">
        <v>5000</v>
      </c>
      <c r="U649" s="23">
        <v>44916</v>
      </c>
      <c r="V649" s="23">
        <v>45291</v>
      </c>
      <c r="W649" s="13">
        <v>5000</v>
      </c>
    </row>
    <row r="650" spans="1:23" ht="120" x14ac:dyDescent="0.25">
      <c r="A650" s="24" t="s">
        <v>2148</v>
      </c>
      <c r="B650" s="16" t="s">
        <v>468</v>
      </c>
      <c r="C650" s="27" t="s">
        <v>2107</v>
      </c>
      <c r="D650" s="27" t="s">
        <v>2149</v>
      </c>
      <c r="E650" s="27" t="s">
        <v>108</v>
      </c>
      <c r="J650" s="22" t="s">
        <v>2150</v>
      </c>
      <c r="L650" s="27" t="s">
        <v>2151</v>
      </c>
      <c r="Q650" s="21" t="s">
        <v>2150</v>
      </c>
      <c r="S650" s="27" t="s">
        <v>2151</v>
      </c>
      <c r="T650" s="13">
        <v>5000</v>
      </c>
      <c r="U650" s="23">
        <v>44916</v>
      </c>
      <c r="V650" s="23">
        <v>45291</v>
      </c>
      <c r="W650" s="13">
        <v>5000</v>
      </c>
    </row>
    <row r="651" spans="1:23" ht="60" x14ac:dyDescent="0.25">
      <c r="A651" s="24" t="s">
        <v>2152</v>
      </c>
      <c r="B651" s="16" t="s">
        <v>468</v>
      </c>
      <c r="C651" s="27" t="s">
        <v>2107</v>
      </c>
      <c r="D651" s="27" t="s">
        <v>2153</v>
      </c>
      <c r="E651" s="27" t="s">
        <v>108</v>
      </c>
      <c r="J651" s="22">
        <v>80053570588</v>
      </c>
      <c r="L651" s="27" t="s">
        <v>2154</v>
      </c>
      <c r="Q651" s="21">
        <v>80053570588</v>
      </c>
      <c r="S651" s="27" t="s">
        <v>2154</v>
      </c>
      <c r="T651" s="13">
        <v>3520</v>
      </c>
      <c r="U651" s="23">
        <v>44908</v>
      </c>
      <c r="V651" s="23">
        <v>46022</v>
      </c>
      <c r="W651" s="13">
        <v>1173</v>
      </c>
    </row>
    <row r="652" spans="1:23" ht="90" x14ac:dyDescent="0.25">
      <c r="A652" s="24" t="s">
        <v>2155</v>
      </c>
      <c r="B652" s="16" t="s">
        <v>468</v>
      </c>
      <c r="C652" s="27" t="s">
        <v>2107</v>
      </c>
      <c r="D652" s="27" t="s">
        <v>2156</v>
      </c>
      <c r="E652" s="27" t="s">
        <v>108</v>
      </c>
      <c r="J652" s="22" t="s">
        <v>484</v>
      </c>
      <c r="L652" s="27" t="s">
        <v>722</v>
      </c>
      <c r="Q652" s="21" t="s">
        <v>484</v>
      </c>
      <c r="S652" s="27" t="s">
        <v>722</v>
      </c>
      <c r="T652" s="13">
        <v>250</v>
      </c>
      <c r="U652" s="23">
        <v>44908</v>
      </c>
      <c r="V652" s="23">
        <v>45291</v>
      </c>
      <c r="W652" s="13">
        <v>250</v>
      </c>
    </row>
    <row r="653" spans="1:23" ht="60" x14ac:dyDescent="0.25">
      <c r="A653" s="24" t="s">
        <v>2157</v>
      </c>
      <c r="B653" s="16" t="s">
        <v>468</v>
      </c>
      <c r="C653" s="27" t="s">
        <v>2107</v>
      </c>
      <c r="D653" s="27" t="s">
        <v>2115</v>
      </c>
      <c r="E653" s="27" t="s">
        <v>108</v>
      </c>
      <c r="J653" s="22" t="s">
        <v>484</v>
      </c>
      <c r="L653" s="27" t="s">
        <v>722</v>
      </c>
      <c r="Q653" s="21" t="s">
        <v>484</v>
      </c>
      <c r="S653" s="27" t="s">
        <v>722</v>
      </c>
      <c r="T653" s="13">
        <v>380.76</v>
      </c>
      <c r="U653" s="23">
        <v>44908</v>
      </c>
      <c r="V653" s="23">
        <v>45291</v>
      </c>
      <c r="W653" s="13">
        <v>380.76</v>
      </c>
    </row>
    <row r="654" spans="1:23" ht="90" x14ac:dyDescent="0.25">
      <c r="A654" s="24" t="s">
        <v>2158</v>
      </c>
      <c r="B654" s="16" t="s">
        <v>468</v>
      </c>
      <c r="C654" s="27" t="s">
        <v>2107</v>
      </c>
      <c r="D654" s="27" t="s">
        <v>2159</v>
      </c>
      <c r="E654" s="27" t="s">
        <v>108</v>
      </c>
      <c r="J654" s="22" t="s">
        <v>484</v>
      </c>
      <c r="L654" s="27" t="s">
        <v>722</v>
      </c>
      <c r="Q654" s="21" t="s">
        <v>484</v>
      </c>
      <c r="S654" s="27" t="s">
        <v>722</v>
      </c>
      <c r="T654" s="13">
        <v>250</v>
      </c>
      <c r="U654" s="23">
        <v>44908</v>
      </c>
      <c r="V654" s="23">
        <v>45291</v>
      </c>
      <c r="W654" s="13">
        <v>250</v>
      </c>
    </row>
    <row r="655" spans="1:23" ht="105" x14ac:dyDescent="0.25">
      <c r="A655" s="24" t="s">
        <v>2160</v>
      </c>
      <c r="B655" s="16" t="s">
        <v>468</v>
      </c>
      <c r="C655" s="27" t="s">
        <v>2107</v>
      </c>
      <c r="D655" s="27" t="s">
        <v>2111</v>
      </c>
      <c r="E655" s="27" t="s">
        <v>108</v>
      </c>
      <c r="J655" s="22" t="s">
        <v>2112</v>
      </c>
      <c r="L655" s="27" t="s">
        <v>2113</v>
      </c>
      <c r="Q655" s="21" t="s">
        <v>2112</v>
      </c>
      <c r="S655" s="27" t="s">
        <v>2113</v>
      </c>
      <c r="T655" s="13">
        <v>4000</v>
      </c>
      <c r="U655" s="23">
        <v>44984</v>
      </c>
      <c r="V655" s="23">
        <v>45350</v>
      </c>
      <c r="W655" s="13">
        <v>4000</v>
      </c>
    </row>
    <row r="656" spans="1:23" ht="45" x14ac:dyDescent="0.25">
      <c r="A656" s="24" t="s">
        <v>2161</v>
      </c>
      <c r="B656" s="16" t="s">
        <v>468</v>
      </c>
      <c r="C656" s="27" t="s">
        <v>2107</v>
      </c>
      <c r="D656" s="27" t="s">
        <v>207</v>
      </c>
      <c r="E656" s="27" t="s">
        <v>108</v>
      </c>
      <c r="J656" s="22" t="s">
        <v>2136</v>
      </c>
      <c r="L656" s="27" t="s">
        <v>2135</v>
      </c>
      <c r="Q656" s="21" t="s">
        <v>2136</v>
      </c>
      <c r="S656" s="27" t="s">
        <v>2135</v>
      </c>
      <c r="T656" s="13">
        <v>1560.8</v>
      </c>
      <c r="U656" s="23">
        <v>45012</v>
      </c>
      <c r="V656" s="23">
        <v>45056</v>
      </c>
      <c r="W656" s="13">
        <v>1525.6</v>
      </c>
    </row>
    <row r="657" spans="1:26" ht="45" x14ac:dyDescent="0.25">
      <c r="A657" s="24" t="s">
        <v>2162</v>
      </c>
      <c r="B657" s="16" t="s">
        <v>468</v>
      </c>
      <c r="C657" s="27" t="s">
        <v>2107</v>
      </c>
      <c r="D657" s="27" t="s">
        <v>207</v>
      </c>
      <c r="E657" s="27" t="s">
        <v>108</v>
      </c>
      <c r="J657" s="22" t="s">
        <v>2163</v>
      </c>
      <c r="L657" s="27" t="s">
        <v>2164</v>
      </c>
      <c r="Q657" s="21" t="s">
        <v>2163</v>
      </c>
      <c r="S657" s="27" t="s">
        <v>2164</v>
      </c>
      <c r="T657" s="13">
        <v>3450</v>
      </c>
      <c r="U657" s="23">
        <v>45021</v>
      </c>
      <c r="W657" s="13">
        <v>340.57</v>
      </c>
    </row>
    <row r="658" spans="1:26" ht="45" x14ac:dyDescent="0.25">
      <c r="A658" s="24" t="s">
        <v>2165</v>
      </c>
      <c r="B658" s="16" t="s">
        <v>468</v>
      </c>
      <c r="C658" s="27" t="s">
        <v>2107</v>
      </c>
      <c r="D658" s="27" t="s">
        <v>2166</v>
      </c>
      <c r="E658" s="27" t="s">
        <v>108</v>
      </c>
      <c r="J658" s="22" t="s">
        <v>660</v>
      </c>
      <c r="L658" s="27" t="s">
        <v>661</v>
      </c>
      <c r="Q658" s="21" t="s">
        <v>660</v>
      </c>
      <c r="S658" s="27" t="s">
        <v>661</v>
      </c>
      <c r="T658" s="13">
        <v>2037.84</v>
      </c>
      <c r="U658" s="23">
        <v>45021</v>
      </c>
      <c r="W658" s="13">
        <v>1966.41</v>
      </c>
    </row>
    <row r="659" spans="1:26" ht="45" x14ac:dyDescent="0.25">
      <c r="A659" s="24" t="s">
        <v>2167</v>
      </c>
      <c r="B659" s="16" t="s">
        <v>468</v>
      </c>
      <c r="C659" s="27" t="s">
        <v>2107</v>
      </c>
      <c r="D659" s="27" t="s">
        <v>2168</v>
      </c>
      <c r="E659" s="27" t="s">
        <v>108</v>
      </c>
      <c r="J659" s="22" t="s">
        <v>660</v>
      </c>
      <c r="L659" s="27" t="s">
        <v>661</v>
      </c>
      <c r="Q659" s="21" t="s">
        <v>660</v>
      </c>
      <c r="S659" s="27" t="s">
        <v>661</v>
      </c>
      <c r="T659" s="13">
        <v>5596</v>
      </c>
      <c r="U659" s="23">
        <v>45063</v>
      </c>
      <c r="V659" s="23">
        <v>45428</v>
      </c>
      <c r="W659" s="13">
        <v>5596</v>
      </c>
    </row>
    <row r="660" spans="1:26" ht="45" x14ac:dyDescent="0.25">
      <c r="A660" s="24" t="s">
        <v>2169</v>
      </c>
      <c r="B660" s="16" t="s">
        <v>468</v>
      </c>
      <c r="C660" s="27" t="s">
        <v>2107</v>
      </c>
      <c r="D660" s="27" t="s">
        <v>2170</v>
      </c>
      <c r="E660" s="27" t="s">
        <v>108</v>
      </c>
      <c r="J660" s="22" t="s">
        <v>660</v>
      </c>
      <c r="L660" s="27" t="s">
        <v>661</v>
      </c>
      <c r="Q660" s="21" t="s">
        <v>660</v>
      </c>
      <c r="S660" s="27" t="s">
        <v>661</v>
      </c>
      <c r="T660" s="13">
        <v>780</v>
      </c>
      <c r="U660" s="23">
        <v>45063</v>
      </c>
      <c r="V660" s="23">
        <v>45428</v>
      </c>
      <c r="W660" s="13">
        <v>780</v>
      </c>
    </row>
    <row r="661" spans="1:26" ht="45" x14ac:dyDescent="0.25">
      <c r="A661" s="24" t="s">
        <v>2171</v>
      </c>
      <c r="B661" s="16" t="s">
        <v>468</v>
      </c>
      <c r="C661" s="27" t="s">
        <v>2107</v>
      </c>
      <c r="D661" s="27" t="s">
        <v>2172</v>
      </c>
      <c r="E661" s="27" t="s">
        <v>108</v>
      </c>
      <c r="J661" s="22" t="s">
        <v>660</v>
      </c>
      <c r="L661" s="27" t="s">
        <v>661</v>
      </c>
      <c r="Q661" s="21" t="s">
        <v>660</v>
      </c>
      <c r="S661" s="27" t="s">
        <v>661</v>
      </c>
      <c r="T661" s="13">
        <v>1584</v>
      </c>
      <c r="U661" s="23">
        <v>45063</v>
      </c>
      <c r="V661" s="23">
        <v>45428</v>
      </c>
      <c r="W661" s="13">
        <v>1584</v>
      </c>
    </row>
    <row r="662" spans="1:26" ht="45" x14ac:dyDescent="0.25">
      <c r="A662" s="24" t="s">
        <v>2173</v>
      </c>
      <c r="B662" s="16" t="s">
        <v>468</v>
      </c>
      <c r="C662" s="27" t="s">
        <v>2107</v>
      </c>
      <c r="D662" s="27" t="s">
        <v>2174</v>
      </c>
      <c r="E662" s="27" t="s">
        <v>108</v>
      </c>
      <c r="J662" s="22" t="s">
        <v>660</v>
      </c>
      <c r="L662" s="27" t="s">
        <v>661</v>
      </c>
      <c r="Q662" s="21" t="s">
        <v>660</v>
      </c>
      <c r="S662" s="27" t="s">
        <v>661</v>
      </c>
      <c r="T662" s="13">
        <v>1295</v>
      </c>
      <c r="U662" s="23">
        <v>45063</v>
      </c>
      <c r="V662" s="23">
        <v>45428</v>
      </c>
      <c r="W662" s="13">
        <v>1295</v>
      </c>
    </row>
    <row r="663" spans="1:26" ht="45" x14ac:dyDescent="0.25">
      <c r="A663" s="24" t="s">
        <v>2175</v>
      </c>
      <c r="B663" s="16" t="s">
        <v>468</v>
      </c>
      <c r="C663" s="27" t="s">
        <v>2107</v>
      </c>
      <c r="D663" s="27" t="s">
        <v>2176</v>
      </c>
      <c r="E663" s="27" t="s">
        <v>108</v>
      </c>
      <c r="J663" s="22" t="s">
        <v>660</v>
      </c>
      <c r="L663" s="27" t="s">
        <v>661</v>
      </c>
      <c r="Q663" s="21" t="s">
        <v>660</v>
      </c>
      <c r="S663" s="27" t="s">
        <v>661</v>
      </c>
      <c r="T663" s="13">
        <v>868</v>
      </c>
      <c r="U663" s="23">
        <v>45063</v>
      </c>
      <c r="V663" s="23">
        <v>45428</v>
      </c>
      <c r="W663" s="13">
        <v>868</v>
      </c>
    </row>
    <row r="664" spans="1:26" ht="60" x14ac:dyDescent="0.25">
      <c r="A664" s="24" t="s">
        <v>1764</v>
      </c>
      <c r="B664" s="16" t="s">
        <v>468</v>
      </c>
      <c r="C664" s="27" t="s">
        <v>2107</v>
      </c>
      <c r="D664" s="27" t="s">
        <v>2177</v>
      </c>
      <c r="E664" s="27" t="s">
        <v>108</v>
      </c>
      <c r="J664" s="22" t="s">
        <v>2178</v>
      </c>
      <c r="L664" s="27" t="s">
        <v>2179</v>
      </c>
      <c r="Q664" s="21" t="s">
        <v>2178</v>
      </c>
      <c r="S664" s="27" t="s">
        <v>2179</v>
      </c>
      <c r="T664" s="13">
        <v>2790</v>
      </c>
      <c r="U664" s="23">
        <v>45093</v>
      </c>
    </row>
    <row r="665" spans="1:26" ht="45" x14ac:dyDescent="0.25">
      <c r="A665" s="24" t="s">
        <v>2180</v>
      </c>
      <c r="B665" s="16" t="s">
        <v>468</v>
      </c>
      <c r="C665" s="27" t="s">
        <v>2107</v>
      </c>
      <c r="D665" s="27" t="s">
        <v>207</v>
      </c>
      <c r="E665" s="27" t="s">
        <v>108</v>
      </c>
      <c r="J665" s="22" t="s">
        <v>2181</v>
      </c>
      <c r="L665" s="27" t="s">
        <v>2182</v>
      </c>
      <c r="Q665" s="21" t="s">
        <v>2181</v>
      </c>
      <c r="S665" s="27" t="s">
        <v>2182</v>
      </c>
      <c r="T665" s="13">
        <v>1050.4000000000001</v>
      </c>
      <c r="U665" s="23">
        <v>45103</v>
      </c>
      <c r="W665" s="13">
        <v>336</v>
      </c>
    </row>
    <row r="666" spans="1:26" ht="45" x14ac:dyDescent="0.25">
      <c r="A666" s="24" t="s">
        <v>2183</v>
      </c>
      <c r="B666" s="16" t="s">
        <v>468</v>
      </c>
      <c r="C666" s="27" t="s">
        <v>2107</v>
      </c>
      <c r="D666" s="27" t="s">
        <v>207</v>
      </c>
      <c r="E666" s="27" t="s">
        <v>108</v>
      </c>
      <c r="J666" s="22" t="s">
        <v>2136</v>
      </c>
      <c r="L666" s="27" t="s">
        <v>2135</v>
      </c>
      <c r="Q666" s="21" t="s">
        <v>2136</v>
      </c>
      <c r="S666" s="27" t="s">
        <v>2135</v>
      </c>
      <c r="T666" s="13">
        <v>356.8</v>
      </c>
      <c r="U666" s="23">
        <v>45112</v>
      </c>
      <c r="W666" s="13">
        <v>336</v>
      </c>
    </row>
    <row r="667" spans="1:26" ht="45" x14ac:dyDescent="0.25">
      <c r="A667" s="28">
        <v>0</v>
      </c>
      <c r="B667" s="21">
        <v>80204250585</v>
      </c>
      <c r="C667" s="22" t="s">
        <v>48</v>
      </c>
      <c r="D667" s="22" t="s">
        <v>2184</v>
      </c>
      <c r="E667" s="22" t="s">
        <v>108</v>
      </c>
      <c r="F667" s="21"/>
      <c r="G667" s="16"/>
      <c r="H667" s="21"/>
      <c r="I667" s="21"/>
      <c r="J667" s="21" t="s">
        <v>2185</v>
      </c>
      <c r="K667" s="21"/>
      <c r="L667" s="22" t="s">
        <v>2186</v>
      </c>
      <c r="M667" s="21"/>
      <c r="O667" s="21"/>
      <c r="P667" s="21"/>
      <c r="Q667" s="21" t="s">
        <v>2185</v>
      </c>
      <c r="R667" s="21"/>
      <c r="S667" s="21" t="s">
        <v>2186</v>
      </c>
      <c r="T667" s="13">
        <v>1500</v>
      </c>
      <c r="U667" s="23">
        <v>42268</v>
      </c>
      <c r="V667" s="23">
        <v>42270</v>
      </c>
      <c r="W667" s="13">
        <v>0</v>
      </c>
      <c r="X667" s="16"/>
      <c r="Z667" s="27"/>
    </row>
    <row r="668" spans="1:26" ht="45" x14ac:dyDescent="0.25">
      <c r="A668" s="28">
        <v>0</v>
      </c>
      <c r="B668" s="21">
        <v>80204250585</v>
      </c>
      <c r="C668" s="22" t="s">
        <v>48</v>
      </c>
      <c r="D668" s="22" t="s">
        <v>2184</v>
      </c>
      <c r="E668" s="22" t="s">
        <v>108</v>
      </c>
      <c r="F668" s="21"/>
      <c r="G668" s="16"/>
      <c r="H668" s="21"/>
      <c r="I668" s="21"/>
      <c r="J668" s="21" t="s">
        <v>2185</v>
      </c>
      <c r="K668" s="21"/>
      <c r="L668" s="22" t="s">
        <v>2186</v>
      </c>
      <c r="M668" s="21"/>
      <c r="O668" s="21"/>
      <c r="P668" s="21"/>
      <c r="Q668" s="21" t="s">
        <v>2185</v>
      </c>
      <c r="R668" s="21"/>
      <c r="S668" s="21" t="s">
        <v>2186</v>
      </c>
      <c r="T668" s="13">
        <v>1500</v>
      </c>
      <c r="U668" s="23">
        <v>42268</v>
      </c>
      <c r="V668" s="23">
        <v>42270</v>
      </c>
      <c r="W668" s="13">
        <v>0</v>
      </c>
      <c r="X668" s="16"/>
      <c r="Z668" s="27"/>
    </row>
    <row r="669" spans="1:26" ht="105" x14ac:dyDescent="0.25">
      <c r="A669" s="28">
        <v>0</v>
      </c>
      <c r="B669" s="21">
        <v>80204250585</v>
      </c>
      <c r="C669" s="22" t="s">
        <v>48</v>
      </c>
      <c r="D669" s="22" t="s">
        <v>2187</v>
      </c>
      <c r="E669" s="22" t="s">
        <v>108</v>
      </c>
      <c r="F669" s="21"/>
      <c r="G669" s="21"/>
      <c r="H669" s="21"/>
      <c r="I669" s="21"/>
      <c r="J669" s="21" t="s">
        <v>2188</v>
      </c>
      <c r="K669" s="21"/>
      <c r="L669" s="22" t="s">
        <v>2189</v>
      </c>
      <c r="M669" s="21"/>
      <c r="N669" s="21"/>
      <c r="O669" s="21"/>
      <c r="P669" s="21"/>
      <c r="Q669" s="21" t="s">
        <v>2188</v>
      </c>
      <c r="R669" s="21"/>
      <c r="S669" s="21" t="s">
        <v>2189</v>
      </c>
      <c r="T669" s="13">
        <v>750</v>
      </c>
      <c r="U669" s="23">
        <v>42625</v>
      </c>
      <c r="V669" s="23">
        <v>42628</v>
      </c>
      <c r="W669" s="13">
        <v>0</v>
      </c>
      <c r="X669" s="16"/>
      <c r="Z669" s="27"/>
    </row>
    <row r="670" spans="1:26" ht="60" x14ac:dyDescent="0.25">
      <c r="A670" s="28" t="s">
        <v>2190</v>
      </c>
      <c r="B670" s="21">
        <v>80204250585</v>
      </c>
      <c r="C670" s="22" t="s">
        <v>48</v>
      </c>
      <c r="D670" s="22" t="s">
        <v>2191</v>
      </c>
      <c r="E670" s="22" t="s">
        <v>108</v>
      </c>
      <c r="F670" s="21"/>
      <c r="G670" s="16"/>
      <c r="H670" s="21"/>
      <c r="I670" s="21"/>
      <c r="J670" s="21" t="s">
        <v>2192</v>
      </c>
      <c r="K670" s="21"/>
      <c r="L670" s="22" t="s">
        <v>2193</v>
      </c>
      <c r="M670" s="21"/>
      <c r="O670" s="21"/>
      <c r="P670" s="21"/>
      <c r="Q670" s="21" t="s">
        <v>2192</v>
      </c>
      <c r="R670" s="21"/>
      <c r="S670" s="21" t="s">
        <v>2193</v>
      </c>
      <c r="T670" s="13">
        <v>5900</v>
      </c>
      <c r="U670" s="23">
        <v>42723</v>
      </c>
      <c r="V670" s="23">
        <v>42726</v>
      </c>
      <c r="W670" s="13">
        <v>0</v>
      </c>
      <c r="X670" s="16"/>
      <c r="Z670" s="27"/>
    </row>
    <row r="671" spans="1:26" ht="75" x14ac:dyDescent="0.25">
      <c r="A671" s="28" t="s">
        <v>2194</v>
      </c>
      <c r="B671" s="21">
        <v>80204250585</v>
      </c>
      <c r="C671" s="22" t="s">
        <v>48</v>
      </c>
      <c r="D671" s="22" t="s">
        <v>2195</v>
      </c>
      <c r="E671" s="22" t="s">
        <v>108</v>
      </c>
      <c r="F671" s="21"/>
      <c r="G671" s="16"/>
      <c r="H671" s="21"/>
      <c r="I671" s="21"/>
      <c r="J671" s="21" t="s">
        <v>2196</v>
      </c>
      <c r="K671" s="21"/>
      <c r="L671" s="22" t="s">
        <v>2197</v>
      </c>
      <c r="M671" s="21"/>
      <c r="O671" s="21"/>
      <c r="P671" s="21"/>
      <c r="Q671" s="21" t="s">
        <v>2196</v>
      </c>
      <c r="R671" s="21"/>
      <c r="S671" s="21" t="s">
        <v>2197</v>
      </c>
      <c r="T671" s="13">
        <v>2562</v>
      </c>
      <c r="U671" s="23">
        <v>43070</v>
      </c>
      <c r="V671" s="23">
        <v>43434</v>
      </c>
      <c r="W671" s="13">
        <f>640.5+640.5+640.5+640.5</f>
        <v>2562</v>
      </c>
      <c r="X671" s="16"/>
      <c r="Z671" s="27"/>
    </row>
    <row r="672" spans="1:26" ht="75" x14ac:dyDescent="0.25">
      <c r="A672" s="28" t="s">
        <v>2198</v>
      </c>
      <c r="B672" s="21">
        <v>80204250585</v>
      </c>
      <c r="C672" s="22" t="s">
        <v>48</v>
      </c>
      <c r="D672" s="22" t="s">
        <v>2199</v>
      </c>
      <c r="E672" s="22" t="s">
        <v>108</v>
      </c>
      <c r="F672" s="21"/>
      <c r="G672" s="16"/>
      <c r="H672" s="21"/>
      <c r="I672" s="21"/>
      <c r="J672" s="21" t="s">
        <v>2200</v>
      </c>
      <c r="K672" s="21"/>
      <c r="L672" s="22" t="s">
        <v>2201</v>
      </c>
      <c r="M672" s="21"/>
      <c r="O672" s="21"/>
      <c r="P672" s="21"/>
      <c r="Q672" s="21" t="s">
        <v>109</v>
      </c>
      <c r="R672" s="21"/>
      <c r="S672" s="21" t="s">
        <v>2201</v>
      </c>
      <c r="T672" s="13">
        <v>5563.2</v>
      </c>
      <c r="U672" s="23">
        <v>43180</v>
      </c>
      <c r="V672" s="23">
        <v>43244</v>
      </c>
      <c r="W672" s="13">
        <v>5551</v>
      </c>
      <c r="X672" s="16"/>
      <c r="Z672" s="27"/>
    </row>
    <row r="673" spans="1:26" ht="60" x14ac:dyDescent="0.25">
      <c r="A673" s="28" t="s">
        <v>2202</v>
      </c>
      <c r="B673" s="21">
        <v>80204250585</v>
      </c>
      <c r="C673" s="22" t="s">
        <v>48</v>
      </c>
      <c r="D673" s="22" t="s">
        <v>2203</v>
      </c>
      <c r="E673" s="22" t="s">
        <v>108</v>
      </c>
      <c r="F673" s="21"/>
      <c r="G673" s="16"/>
      <c r="H673" s="21"/>
      <c r="I673" s="21"/>
      <c r="J673" s="21" t="s">
        <v>2204</v>
      </c>
      <c r="K673" s="21"/>
      <c r="L673" s="22" t="s">
        <v>2205</v>
      </c>
      <c r="M673" s="21"/>
      <c r="O673" s="21"/>
      <c r="P673" s="21"/>
      <c r="Q673" s="21" t="s">
        <v>2204</v>
      </c>
      <c r="R673" s="21"/>
      <c r="S673" s="21" t="s">
        <v>2205</v>
      </c>
      <c r="T673" s="13">
        <v>4200</v>
      </c>
      <c r="U673" s="23">
        <v>43435</v>
      </c>
      <c r="V673" s="23">
        <v>44165</v>
      </c>
      <c r="W673" s="13">
        <v>0</v>
      </c>
      <c r="X673" s="16"/>
      <c r="Z673" s="27"/>
    </row>
    <row r="674" spans="1:26" ht="75" x14ac:dyDescent="0.25">
      <c r="A674" s="28" t="s">
        <v>2206</v>
      </c>
      <c r="B674" s="21">
        <v>80204250585</v>
      </c>
      <c r="C674" s="22" t="s">
        <v>48</v>
      </c>
      <c r="D674" s="22" t="s">
        <v>2207</v>
      </c>
      <c r="E674" s="22" t="s">
        <v>108</v>
      </c>
      <c r="F674" s="21"/>
      <c r="G674" s="16"/>
      <c r="H674" s="21"/>
      <c r="I674" s="21"/>
      <c r="J674" s="21" t="s">
        <v>109</v>
      </c>
      <c r="K674" s="21"/>
      <c r="L674" s="22" t="s">
        <v>2208</v>
      </c>
      <c r="M674" s="21"/>
      <c r="N674" s="21"/>
      <c r="O674" s="21"/>
      <c r="P674" s="21"/>
      <c r="Q674" s="21" t="s">
        <v>109</v>
      </c>
      <c r="R674" s="21"/>
      <c r="S674" s="21" t="s">
        <v>2208</v>
      </c>
      <c r="T674" s="13">
        <v>11680</v>
      </c>
      <c r="U674" s="23">
        <v>43221</v>
      </c>
      <c r="V674" s="23">
        <v>43830</v>
      </c>
      <c r="W674" s="13">
        <v>0</v>
      </c>
      <c r="X674" s="16"/>
      <c r="Z674" s="27"/>
    </row>
    <row r="675" spans="1:26" ht="75" x14ac:dyDescent="0.25">
      <c r="A675" s="28" t="s">
        <v>2209</v>
      </c>
      <c r="B675" s="21">
        <v>80204250585</v>
      </c>
      <c r="C675" s="22" t="s">
        <v>48</v>
      </c>
      <c r="D675" s="22" t="s">
        <v>2210</v>
      </c>
      <c r="E675" s="22" t="s">
        <v>108</v>
      </c>
      <c r="F675" s="21"/>
      <c r="G675" s="16"/>
      <c r="H675" s="21"/>
      <c r="I675" s="21"/>
      <c r="J675" s="21" t="s">
        <v>2211</v>
      </c>
      <c r="K675" s="21"/>
      <c r="L675" s="22" t="s">
        <v>2212</v>
      </c>
      <c r="M675" s="21"/>
      <c r="O675" s="21"/>
      <c r="P675" s="21"/>
      <c r="Q675" s="21" t="s">
        <v>2211</v>
      </c>
      <c r="R675" s="21"/>
      <c r="S675" s="21" t="s">
        <v>2212</v>
      </c>
      <c r="T675" s="13">
        <v>2166.15</v>
      </c>
      <c r="U675" s="23">
        <v>43444</v>
      </c>
      <c r="V675" s="23">
        <v>43444</v>
      </c>
      <c r="W675" s="13">
        <v>0</v>
      </c>
      <c r="X675" s="16"/>
      <c r="Z675" s="27"/>
    </row>
    <row r="676" spans="1:26" ht="120" x14ac:dyDescent="0.25">
      <c r="A676" s="28" t="s">
        <v>2213</v>
      </c>
      <c r="B676" s="21">
        <v>80204250585</v>
      </c>
      <c r="C676" s="22" t="s">
        <v>48</v>
      </c>
      <c r="D676" s="22" t="s">
        <v>2214</v>
      </c>
      <c r="E676" s="22" t="s">
        <v>108</v>
      </c>
      <c r="F676" s="21"/>
      <c r="G676" s="16"/>
      <c r="H676" s="21"/>
      <c r="I676" s="21"/>
      <c r="J676" s="21" t="s">
        <v>2215</v>
      </c>
      <c r="K676" s="21"/>
      <c r="L676" s="22" t="s">
        <v>2216</v>
      </c>
      <c r="M676" s="21"/>
      <c r="O676" s="21"/>
      <c r="P676" s="21"/>
      <c r="Q676" s="21" t="s">
        <v>2215</v>
      </c>
      <c r="R676" s="21"/>
      <c r="S676" s="21" t="s">
        <v>2216</v>
      </c>
      <c r="T676" s="13">
        <v>6000</v>
      </c>
      <c r="U676" s="23">
        <v>43521</v>
      </c>
      <c r="V676" s="23">
        <v>43525</v>
      </c>
      <c r="W676" s="13">
        <v>0</v>
      </c>
      <c r="X676" s="16"/>
      <c r="Z676" s="27"/>
    </row>
    <row r="677" spans="1:26" ht="105" x14ac:dyDescent="0.25">
      <c r="A677" s="28">
        <v>0</v>
      </c>
      <c r="B677" s="21">
        <v>80204250585</v>
      </c>
      <c r="C677" s="22" t="s">
        <v>48</v>
      </c>
      <c r="D677" s="22" t="s">
        <v>2217</v>
      </c>
      <c r="E677" s="22" t="s">
        <v>108</v>
      </c>
      <c r="F677" s="21"/>
      <c r="G677" s="16"/>
      <c r="H677" s="21"/>
      <c r="I677" s="21"/>
      <c r="J677" s="21" t="s">
        <v>2218</v>
      </c>
      <c r="K677" s="21"/>
      <c r="L677" s="22" t="s">
        <v>2219</v>
      </c>
      <c r="M677" s="21"/>
      <c r="O677" s="21"/>
      <c r="P677" s="21"/>
      <c r="Q677" s="21" t="s">
        <v>2218</v>
      </c>
      <c r="R677" s="21"/>
      <c r="S677" s="21" t="s">
        <v>2219</v>
      </c>
      <c r="T677" s="13">
        <v>460</v>
      </c>
      <c r="U677" s="23">
        <v>43620</v>
      </c>
      <c r="V677" s="23">
        <v>43620</v>
      </c>
      <c r="W677" s="13">
        <v>460</v>
      </c>
      <c r="X677" s="16"/>
      <c r="Z677" s="27"/>
    </row>
    <row r="678" spans="1:26" ht="75" x14ac:dyDescent="0.25">
      <c r="A678" s="28">
        <v>0</v>
      </c>
      <c r="B678" s="21">
        <v>80204250585</v>
      </c>
      <c r="C678" s="22" t="s">
        <v>48</v>
      </c>
      <c r="D678" s="22" t="s">
        <v>2220</v>
      </c>
      <c r="E678" s="22" t="s">
        <v>108</v>
      </c>
      <c r="F678" s="21"/>
      <c r="G678" s="16"/>
      <c r="H678" s="21"/>
      <c r="I678" s="21"/>
      <c r="J678" s="21" t="s">
        <v>2218</v>
      </c>
      <c r="K678" s="21"/>
      <c r="L678" s="22" t="s">
        <v>2219</v>
      </c>
      <c r="M678" s="21"/>
      <c r="O678" s="21"/>
      <c r="P678" s="21"/>
      <c r="Q678" s="21" t="s">
        <v>2218</v>
      </c>
      <c r="R678" s="21"/>
      <c r="S678" s="21" t="s">
        <v>2219</v>
      </c>
      <c r="T678" s="13">
        <v>400</v>
      </c>
      <c r="U678" s="23">
        <v>43642</v>
      </c>
      <c r="V678" s="23">
        <v>43642</v>
      </c>
      <c r="W678" s="13">
        <v>400</v>
      </c>
      <c r="X678" s="16"/>
      <c r="Z678" s="27"/>
    </row>
    <row r="679" spans="1:26" ht="60" x14ac:dyDescent="0.25">
      <c r="A679" s="28" t="s">
        <v>2221</v>
      </c>
      <c r="B679" s="21">
        <v>80204250585</v>
      </c>
      <c r="C679" s="22" t="s">
        <v>48</v>
      </c>
      <c r="D679" s="22" t="s">
        <v>2222</v>
      </c>
      <c r="E679" s="22" t="s">
        <v>108</v>
      </c>
      <c r="F679" s="21"/>
      <c r="G679" s="16"/>
      <c r="H679" s="21"/>
      <c r="I679" s="21"/>
      <c r="J679" s="21" t="s">
        <v>2223</v>
      </c>
      <c r="K679" s="21"/>
      <c r="L679" s="22" t="s">
        <v>2224</v>
      </c>
      <c r="M679" s="21"/>
      <c r="O679" s="21"/>
      <c r="P679" s="21"/>
      <c r="Q679" s="21" t="s">
        <v>2223</v>
      </c>
      <c r="R679" s="21"/>
      <c r="S679" s="21" t="s">
        <v>2224</v>
      </c>
      <c r="T679" s="13">
        <v>1110.9000000000001</v>
      </c>
      <c r="U679" s="23">
        <v>43647</v>
      </c>
      <c r="V679" s="23">
        <v>44013</v>
      </c>
      <c r="W679" s="13">
        <v>0</v>
      </c>
      <c r="X679" s="16"/>
      <c r="Z679" s="27"/>
    </row>
    <row r="680" spans="1:26" ht="45" x14ac:dyDescent="0.25">
      <c r="A680" s="28">
        <v>0</v>
      </c>
      <c r="B680" s="21">
        <v>80204250585</v>
      </c>
      <c r="C680" s="22" t="s">
        <v>48</v>
      </c>
      <c r="D680" s="22" t="s">
        <v>2225</v>
      </c>
      <c r="E680" s="22" t="s">
        <v>108</v>
      </c>
      <c r="F680" s="21"/>
      <c r="G680" s="16"/>
      <c r="H680" s="21"/>
      <c r="I680" s="21"/>
      <c r="J680" s="21" t="s">
        <v>2226</v>
      </c>
      <c r="K680" s="21"/>
      <c r="L680" s="22" t="s">
        <v>2227</v>
      </c>
      <c r="M680" s="21"/>
      <c r="O680" s="21"/>
      <c r="P680" s="21"/>
      <c r="Q680" s="21" t="s">
        <v>2226</v>
      </c>
      <c r="R680" s="21"/>
      <c r="S680" s="21" t="s">
        <v>2227</v>
      </c>
      <c r="T680" s="13">
        <v>2960</v>
      </c>
      <c r="U680" s="23">
        <v>43763</v>
      </c>
      <c r="V680" s="23">
        <v>43778</v>
      </c>
      <c r="W680" s="13">
        <v>2960</v>
      </c>
      <c r="X680" s="16"/>
      <c r="Z680" s="27"/>
    </row>
    <row r="681" spans="1:26" ht="105" x14ac:dyDescent="0.25">
      <c r="A681" s="24" t="s">
        <v>2228</v>
      </c>
      <c r="B681" s="21">
        <v>80204250585</v>
      </c>
      <c r="C681" s="22" t="s">
        <v>48</v>
      </c>
      <c r="D681" s="27" t="s">
        <v>2229</v>
      </c>
      <c r="E681" s="22" t="s">
        <v>108</v>
      </c>
      <c r="F681" s="16"/>
      <c r="G681" s="16"/>
      <c r="H681" s="16"/>
      <c r="I681" s="16"/>
      <c r="J681" s="21" t="s">
        <v>2200</v>
      </c>
      <c r="K681" s="21"/>
      <c r="L681" s="22" t="s">
        <v>2201</v>
      </c>
      <c r="M681" s="16"/>
      <c r="P681" s="16"/>
      <c r="Q681" s="21" t="s">
        <v>109</v>
      </c>
      <c r="R681" s="21"/>
      <c r="S681" s="21" t="s">
        <v>2201</v>
      </c>
      <c r="T681" s="13">
        <v>2380</v>
      </c>
      <c r="U681" s="23">
        <v>43738</v>
      </c>
      <c r="V681" s="23">
        <v>44101</v>
      </c>
      <c r="W681" s="13">
        <v>0</v>
      </c>
      <c r="X681" s="16"/>
      <c r="Z681" s="27"/>
    </row>
    <row r="682" spans="1:26" ht="120" x14ac:dyDescent="0.25">
      <c r="A682" s="28" t="s">
        <v>692</v>
      </c>
      <c r="B682" s="21">
        <v>80204250585</v>
      </c>
      <c r="C682" s="22" t="s">
        <v>48</v>
      </c>
      <c r="D682" s="22" t="s">
        <v>2230</v>
      </c>
      <c r="E682" s="22" t="s">
        <v>108</v>
      </c>
      <c r="F682" s="21"/>
      <c r="G682" s="16"/>
      <c r="H682" s="21"/>
      <c r="I682" s="21"/>
      <c r="J682" s="21" t="s">
        <v>694</v>
      </c>
      <c r="K682" s="21"/>
      <c r="L682" s="22" t="s">
        <v>2231</v>
      </c>
      <c r="M682" s="21"/>
      <c r="O682" s="21"/>
      <c r="P682" s="21"/>
      <c r="Q682" s="21" t="s">
        <v>694</v>
      </c>
      <c r="R682" s="21"/>
      <c r="S682" s="21" t="s">
        <v>2231</v>
      </c>
      <c r="T682" s="13">
        <v>36000</v>
      </c>
      <c r="U682" s="23">
        <v>43862</v>
      </c>
      <c r="V682" s="23">
        <v>43982</v>
      </c>
      <c r="W682" s="13">
        <v>0</v>
      </c>
      <c r="X682" s="16"/>
      <c r="Z682" s="27"/>
    </row>
    <row r="683" spans="1:26" ht="45" x14ac:dyDescent="0.25">
      <c r="A683" s="24" t="s">
        <v>2232</v>
      </c>
      <c r="B683" s="21">
        <v>80204250585</v>
      </c>
      <c r="C683" s="22" t="s">
        <v>48</v>
      </c>
      <c r="D683" s="22" t="s">
        <v>2233</v>
      </c>
      <c r="E683" s="22" t="s">
        <v>108</v>
      </c>
      <c r="F683" s="21"/>
      <c r="G683" s="16"/>
      <c r="H683" s="21"/>
      <c r="I683" s="21"/>
      <c r="J683" s="21" t="s">
        <v>2016</v>
      </c>
      <c r="K683" s="21"/>
      <c r="L683" s="22" t="s">
        <v>2017</v>
      </c>
      <c r="M683" s="21"/>
      <c r="N683" s="21"/>
      <c r="O683" s="21"/>
      <c r="P683" s="21"/>
      <c r="Q683" s="21" t="s">
        <v>2016</v>
      </c>
      <c r="R683" s="21"/>
      <c r="S683" s="21" t="s">
        <v>2017</v>
      </c>
      <c r="T683" s="13">
        <v>945</v>
      </c>
      <c r="U683" s="23">
        <v>43800</v>
      </c>
      <c r="V683" s="23">
        <v>43830</v>
      </c>
      <c r="W683" s="13">
        <v>0</v>
      </c>
      <c r="X683" s="16"/>
      <c r="Z683" s="27"/>
    </row>
    <row r="684" spans="1:26" ht="45" x14ac:dyDescent="0.25">
      <c r="A684" s="28">
        <v>0</v>
      </c>
      <c r="B684" s="21">
        <v>80204250585</v>
      </c>
      <c r="C684" s="22" t="s">
        <v>48</v>
      </c>
      <c r="D684" s="27" t="s">
        <v>2234</v>
      </c>
      <c r="E684" s="22" t="s">
        <v>108</v>
      </c>
      <c r="F684" s="21"/>
      <c r="G684" s="21"/>
      <c r="H684" s="21"/>
      <c r="I684" s="21"/>
      <c r="J684" s="21" t="s">
        <v>2188</v>
      </c>
      <c r="K684" s="21"/>
      <c r="L684" s="22" t="s">
        <v>2189</v>
      </c>
      <c r="M684" s="21"/>
      <c r="N684" s="21"/>
      <c r="O684" s="21"/>
      <c r="P684" s="21"/>
      <c r="Q684" s="21" t="s">
        <v>2188</v>
      </c>
      <c r="R684" s="21"/>
      <c r="S684" s="21" t="s">
        <v>2189</v>
      </c>
      <c r="T684" s="13">
        <v>5146</v>
      </c>
      <c r="U684" s="23">
        <v>43902</v>
      </c>
      <c r="V684" s="23">
        <v>44286</v>
      </c>
      <c r="W684" s="13">
        <v>2646</v>
      </c>
      <c r="X684" s="16"/>
      <c r="Z684" s="27"/>
    </row>
    <row r="685" spans="1:26" ht="45" x14ac:dyDescent="0.25">
      <c r="A685" s="28">
        <v>0</v>
      </c>
      <c r="B685" s="21">
        <v>80204250585</v>
      </c>
      <c r="C685" s="22" t="s">
        <v>48</v>
      </c>
      <c r="D685" s="27" t="s">
        <v>2234</v>
      </c>
      <c r="E685" s="22" t="s">
        <v>108</v>
      </c>
      <c r="F685" s="21"/>
      <c r="G685" s="21"/>
      <c r="H685" s="21"/>
      <c r="I685" s="21"/>
      <c r="J685" s="21" t="s">
        <v>2188</v>
      </c>
      <c r="K685" s="21"/>
      <c r="L685" s="22" t="s">
        <v>2189</v>
      </c>
      <c r="M685" s="21"/>
      <c r="N685" s="21"/>
      <c r="O685" s="21"/>
      <c r="P685" s="21"/>
      <c r="Q685" s="21" t="s">
        <v>2188</v>
      </c>
      <c r="R685" s="21"/>
      <c r="S685" s="21" t="s">
        <v>2189</v>
      </c>
      <c r="T685" s="13">
        <v>5146</v>
      </c>
      <c r="U685" s="23">
        <v>43902</v>
      </c>
      <c r="V685" s="23">
        <v>44286</v>
      </c>
      <c r="W685" s="13">
        <v>2646</v>
      </c>
      <c r="X685" s="16"/>
      <c r="Z685" s="27"/>
    </row>
    <row r="686" spans="1:26" ht="45" x14ac:dyDescent="0.25">
      <c r="A686" s="28">
        <v>0</v>
      </c>
      <c r="B686" s="21">
        <v>80204250585</v>
      </c>
      <c r="C686" s="22" t="s">
        <v>48</v>
      </c>
      <c r="D686" s="27" t="s">
        <v>2234</v>
      </c>
      <c r="E686" s="22" t="s">
        <v>108</v>
      </c>
      <c r="F686" s="21"/>
      <c r="G686" s="21"/>
      <c r="H686" s="21"/>
      <c r="I686" s="21"/>
      <c r="J686" s="21" t="s">
        <v>2188</v>
      </c>
      <c r="K686" s="21"/>
      <c r="L686" s="22" t="s">
        <v>2189</v>
      </c>
      <c r="M686" s="21"/>
      <c r="N686" s="21"/>
      <c r="O686" s="21"/>
      <c r="P686" s="21"/>
      <c r="Q686" s="21" t="s">
        <v>2188</v>
      </c>
      <c r="R686" s="21"/>
      <c r="S686" s="21" t="s">
        <v>2189</v>
      </c>
      <c r="T686" s="13">
        <v>5146</v>
      </c>
      <c r="U686" s="23">
        <v>43902</v>
      </c>
      <c r="V686" s="23">
        <v>44286</v>
      </c>
      <c r="W686" s="13">
        <v>2646</v>
      </c>
      <c r="X686" s="16"/>
      <c r="Z686" s="27"/>
    </row>
    <row r="687" spans="1:26" ht="45" x14ac:dyDescent="0.25">
      <c r="A687" s="28">
        <v>0</v>
      </c>
      <c r="B687" s="21">
        <v>80204250585</v>
      </c>
      <c r="C687" s="22" t="s">
        <v>48</v>
      </c>
      <c r="D687" s="27" t="s">
        <v>2234</v>
      </c>
      <c r="E687" s="22" t="s">
        <v>108</v>
      </c>
      <c r="F687" s="21"/>
      <c r="G687" s="21"/>
      <c r="H687" s="21"/>
      <c r="I687" s="21"/>
      <c r="J687" s="21" t="s">
        <v>2188</v>
      </c>
      <c r="K687" s="21"/>
      <c r="L687" s="22" t="s">
        <v>2189</v>
      </c>
      <c r="M687" s="21"/>
      <c r="N687" s="21"/>
      <c r="O687" s="21"/>
      <c r="P687" s="21"/>
      <c r="Q687" s="21" t="s">
        <v>2188</v>
      </c>
      <c r="R687" s="21"/>
      <c r="S687" s="21" t="s">
        <v>2189</v>
      </c>
      <c r="T687" s="13">
        <v>5146</v>
      </c>
      <c r="U687" s="23">
        <v>43902</v>
      </c>
      <c r="V687" s="23">
        <v>44286</v>
      </c>
      <c r="W687" s="13">
        <v>2646</v>
      </c>
      <c r="X687" s="16"/>
      <c r="Z687" s="27"/>
    </row>
    <row r="688" spans="1:26" ht="45" x14ac:dyDescent="0.25">
      <c r="A688" s="28">
        <v>0</v>
      </c>
      <c r="B688" s="21">
        <v>80204250585</v>
      </c>
      <c r="C688" s="22" t="s">
        <v>48</v>
      </c>
      <c r="D688" s="27" t="s">
        <v>2234</v>
      </c>
      <c r="E688" s="22" t="s">
        <v>108</v>
      </c>
      <c r="F688" s="21"/>
      <c r="G688" s="21"/>
      <c r="H688" s="21"/>
      <c r="I688" s="21"/>
      <c r="J688" s="21" t="s">
        <v>2188</v>
      </c>
      <c r="K688" s="21"/>
      <c r="L688" s="22" t="s">
        <v>2189</v>
      </c>
      <c r="M688" s="21"/>
      <c r="N688" s="21"/>
      <c r="O688" s="21"/>
      <c r="P688" s="21"/>
      <c r="Q688" s="21" t="s">
        <v>2188</v>
      </c>
      <c r="R688" s="21"/>
      <c r="S688" s="21" t="s">
        <v>2189</v>
      </c>
      <c r="T688" s="13">
        <v>5146</v>
      </c>
      <c r="U688" s="23">
        <v>43902</v>
      </c>
      <c r="V688" s="23">
        <v>44286</v>
      </c>
      <c r="W688" s="13">
        <v>2646</v>
      </c>
      <c r="X688" s="16"/>
      <c r="Z688" s="27"/>
    </row>
    <row r="689" spans="1:26" ht="45" x14ac:dyDescent="0.25">
      <c r="A689" s="28">
        <v>0</v>
      </c>
      <c r="B689" s="21">
        <v>80204250585</v>
      </c>
      <c r="C689" s="22" t="s">
        <v>48</v>
      </c>
      <c r="D689" s="22" t="s">
        <v>2235</v>
      </c>
      <c r="E689" s="22" t="s">
        <v>108</v>
      </c>
      <c r="F689" s="21"/>
      <c r="G689" s="16"/>
      <c r="H689" s="21"/>
      <c r="I689" s="21"/>
      <c r="J689" s="21" t="s">
        <v>2236</v>
      </c>
      <c r="K689" s="21"/>
      <c r="L689" s="22" t="s">
        <v>2237</v>
      </c>
      <c r="M689" s="21"/>
      <c r="O689" s="21"/>
      <c r="P689" s="21"/>
      <c r="Q689" s="21" t="s">
        <v>2236</v>
      </c>
      <c r="R689" s="21"/>
      <c r="S689" s="21" t="s">
        <v>2237</v>
      </c>
      <c r="T689" s="13">
        <v>800</v>
      </c>
      <c r="U689" s="23">
        <v>43999</v>
      </c>
      <c r="V689" s="23">
        <v>43999</v>
      </c>
      <c r="W689" s="13">
        <v>800</v>
      </c>
      <c r="X689" s="16"/>
      <c r="Z689" s="27"/>
    </row>
    <row r="690" spans="1:26" ht="45" x14ac:dyDescent="0.25">
      <c r="A690" s="24" t="s">
        <v>2238</v>
      </c>
      <c r="B690" s="21">
        <v>80204250585</v>
      </c>
      <c r="C690" s="22" t="s">
        <v>48</v>
      </c>
      <c r="D690" s="22" t="s">
        <v>2239</v>
      </c>
      <c r="E690" s="22" t="s">
        <v>108</v>
      </c>
      <c r="F690" s="21"/>
      <c r="G690" s="16"/>
      <c r="H690" s="21"/>
      <c r="I690" s="21"/>
      <c r="J690" s="21" t="s">
        <v>2240</v>
      </c>
      <c r="K690" s="21"/>
      <c r="L690" s="22" t="s">
        <v>2241</v>
      </c>
      <c r="M690" s="21"/>
      <c r="N690" s="21"/>
      <c r="O690" s="21"/>
      <c r="P690" s="21"/>
      <c r="Q690" s="21" t="s">
        <v>2240</v>
      </c>
      <c r="R690" s="21"/>
      <c r="S690" s="21" t="s">
        <v>2241</v>
      </c>
      <c r="T690" s="13">
        <v>2080</v>
      </c>
      <c r="U690" s="23">
        <v>44197</v>
      </c>
      <c r="V690" s="23">
        <v>44561</v>
      </c>
      <c r="W690" s="13">
        <v>0</v>
      </c>
      <c r="X690" s="16"/>
      <c r="Z690" s="27"/>
    </row>
    <row r="691" spans="1:26" ht="45" x14ac:dyDescent="0.25">
      <c r="A691" s="24" t="s">
        <v>2242</v>
      </c>
      <c r="B691" s="21">
        <v>80204250585</v>
      </c>
      <c r="C691" s="22" t="s">
        <v>48</v>
      </c>
      <c r="D691" s="22" t="s">
        <v>2239</v>
      </c>
      <c r="E691" s="22" t="s">
        <v>108</v>
      </c>
      <c r="F691" s="21"/>
      <c r="G691" s="16"/>
      <c r="H691" s="21"/>
      <c r="I691" s="21"/>
      <c r="J691" s="21" t="s">
        <v>2243</v>
      </c>
      <c r="K691" s="21"/>
      <c r="L691" s="22" t="s">
        <v>2244</v>
      </c>
      <c r="M691" s="21"/>
      <c r="N691" s="21"/>
      <c r="O691" s="21"/>
      <c r="P691" s="21"/>
      <c r="Q691" s="21" t="s">
        <v>2243</v>
      </c>
      <c r="R691" s="21"/>
      <c r="S691" s="21" t="s">
        <v>2244</v>
      </c>
      <c r="T691" s="13">
        <v>1800</v>
      </c>
      <c r="U691" s="23">
        <v>44197</v>
      </c>
      <c r="V691" s="23">
        <v>44561</v>
      </c>
      <c r="W691" s="13">
        <v>0</v>
      </c>
      <c r="X691" s="16"/>
      <c r="Z691" s="27"/>
    </row>
    <row r="692" spans="1:26" ht="45" x14ac:dyDescent="0.25">
      <c r="A692" s="24" t="s">
        <v>2245</v>
      </c>
      <c r="B692" s="21">
        <v>80204250585</v>
      </c>
      <c r="C692" s="22" t="s">
        <v>48</v>
      </c>
      <c r="D692" s="22" t="s">
        <v>2246</v>
      </c>
      <c r="E692" s="22" t="s">
        <v>108</v>
      </c>
      <c r="F692" s="21"/>
      <c r="G692" s="16"/>
      <c r="H692" s="21"/>
      <c r="I692" s="21"/>
      <c r="J692" s="21" t="s">
        <v>2247</v>
      </c>
      <c r="K692" s="21"/>
      <c r="L692" s="22" t="s">
        <v>2248</v>
      </c>
      <c r="M692" s="21"/>
      <c r="N692" s="21"/>
      <c r="O692" s="21"/>
      <c r="P692" s="21"/>
      <c r="Q692" s="21" t="s">
        <v>2247</v>
      </c>
      <c r="R692" s="21"/>
      <c r="S692" s="21" t="s">
        <v>2248</v>
      </c>
      <c r="T692" s="13">
        <v>11232</v>
      </c>
      <c r="U692" s="23">
        <v>44197</v>
      </c>
      <c r="V692" s="23">
        <v>44561</v>
      </c>
      <c r="W692" s="13">
        <v>0</v>
      </c>
      <c r="X692" s="16"/>
      <c r="Z692" s="27"/>
    </row>
    <row r="693" spans="1:26" ht="45" x14ac:dyDescent="0.25">
      <c r="A693" s="24" t="s">
        <v>2249</v>
      </c>
      <c r="B693" s="21">
        <v>80204250585</v>
      </c>
      <c r="C693" s="22" t="s">
        <v>48</v>
      </c>
      <c r="D693" s="22" t="s">
        <v>2246</v>
      </c>
      <c r="E693" s="22" t="s">
        <v>108</v>
      </c>
      <c r="F693" s="21"/>
      <c r="G693" s="16"/>
      <c r="H693" s="21"/>
      <c r="I693" s="21"/>
      <c r="J693" s="21" t="s">
        <v>2250</v>
      </c>
      <c r="K693" s="21"/>
      <c r="L693" s="22" t="s">
        <v>2251</v>
      </c>
      <c r="M693" s="21"/>
      <c r="N693" s="21"/>
      <c r="O693" s="21"/>
      <c r="P693" s="21"/>
      <c r="Q693" s="21" t="s">
        <v>2250</v>
      </c>
      <c r="R693" s="21"/>
      <c r="S693" s="21" t="s">
        <v>2251</v>
      </c>
      <c r="T693" s="13">
        <v>1800</v>
      </c>
      <c r="U693" s="23">
        <v>44197</v>
      </c>
      <c r="V693" s="23">
        <v>44561</v>
      </c>
      <c r="W693" s="13">
        <v>0</v>
      </c>
      <c r="X693" s="16"/>
      <c r="Z693" s="27"/>
    </row>
    <row r="694" spans="1:26" ht="45" x14ac:dyDescent="0.25">
      <c r="A694" s="24" t="s">
        <v>2252</v>
      </c>
      <c r="B694" s="21">
        <v>80204250585</v>
      </c>
      <c r="C694" s="22" t="s">
        <v>48</v>
      </c>
      <c r="D694" s="22" t="s">
        <v>2246</v>
      </c>
      <c r="E694" s="22" t="s">
        <v>108</v>
      </c>
      <c r="F694" s="21"/>
      <c r="G694" s="16"/>
      <c r="H694" s="21"/>
      <c r="I694" s="21"/>
      <c r="J694" s="21" t="s">
        <v>2253</v>
      </c>
      <c r="K694" s="21"/>
      <c r="L694" s="22" t="s">
        <v>2254</v>
      </c>
      <c r="M694" s="21"/>
      <c r="N694" s="21"/>
      <c r="O694" s="21"/>
      <c r="P694" s="21"/>
      <c r="Q694" s="21" t="s">
        <v>2253</v>
      </c>
      <c r="R694" s="21"/>
      <c r="S694" s="21" t="s">
        <v>2254</v>
      </c>
      <c r="T694" s="13">
        <v>1800</v>
      </c>
      <c r="U694" s="23">
        <v>44197</v>
      </c>
      <c r="V694" s="23">
        <v>44561</v>
      </c>
      <c r="W694" s="13">
        <v>0</v>
      </c>
      <c r="X694" s="16"/>
      <c r="Z694" s="27"/>
    </row>
    <row r="695" spans="1:26" ht="45" x14ac:dyDescent="0.25">
      <c r="A695" s="24" t="s">
        <v>2255</v>
      </c>
      <c r="B695" s="21">
        <v>80204250585</v>
      </c>
      <c r="C695" s="22" t="s">
        <v>48</v>
      </c>
      <c r="D695" s="22" t="s">
        <v>2246</v>
      </c>
      <c r="E695" s="22" t="s">
        <v>108</v>
      </c>
      <c r="F695" s="21"/>
      <c r="G695" s="16"/>
      <c r="H695" s="21"/>
      <c r="I695" s="21"/>
      <c r="J695" s="21" t="s">
        <v>2256</v>
      </c>
      <c r="K695" s="21"/>
      <c r="L695" s="22" t="s">
        <v>2257</v>
      </c>
      <c r="M695" s="21"/>
      <c r="N695" s="21"/>
      <c r="O695" s="21"/>
      <c r="P695" s="21"/>
      <c r="Q695" s="21" t="s">
        <v>2256</v>
      </c>
      <c r="R695" s="21"/>
      <c r="S695" s="21" t="s">
        <v>2257</v>
      </c>
      <c r="T695" s="13">
        <v>1800</v>
      </c>
      <c r="U695" s="23">
        <v>44197</v>
      </c>
      <c r="V695" s="23">
        <v>44561</v>
      </c>
      <c r="W695" s="13">
        <v>0</v>
      </c>
      <c r="X695" s="16"/>
      <c r="Z695" s="27"/>
    </row>
    <row r="696" spans="1:26" ht="45" x14ac:dyDescent="0.25">
      <c r="A696" s="28">
        <v>0</v>
      </c>
      <c r="B696" s="21">
        <v>80204250585</v>
      </c>
      <c r="C696" s="22" t="s">
        <v>48</v>
      </c>
      <c r="D696" s="22" t="s">
        <v>2258</v>
      </c>
      <c r="E696" s="22" t="s">
        <v>108</v>
      </c>
      <c r="F696" s="21"/>
      <c r="G696" s="16"/>
      <c r="H696" s="21"/>
      <c r="I696" s="21"/>
      <c r="J696" s="21" t="s">
        <v>2259</v>
      </c>
      <c r="K696" s="21"/>
      <c r="L696" s="22" t="s">
        <v>2260</v>
      </c>
      <c r="M696" s="21"/>
      <c r="O696" s="21"/>
      <c r="P696" s="21"/>
      <c r="Q696" s="21" t="s">
        <v>2259</v>
      </c>
      <c r="R696" s="21"/>
      <c r="S696" s="21" t="s">
        <v>2260</v>
      </c>
      <c r="T696" s="13">
        <v>1100</v>
      </c>
      <c r="U696" s="23">
        <v>44307</v>
      </c>
      <c r="V696" s="23">
        <v>44309</v>
      </c>
      <c r="W696" s="13">
        <v>0</v>
      </c>
      <c r="X696" s="16"/>
      <c r="Z696" s="27"/>
    </row>
    <row r="697" spans="1:26" ht="45" x14ac:dyDescent="0.25">
      <c r="A697" s="28">
        <v>0</v>
      </c>
      <c r="B697" s="21">
        <v>80204250585</v>
      </c>
      <c r="C697" s="22" t="s">
        <v>48</v>
      </c>
      <c r="D697" s="22" t="s">
        <v>2258</v>
      </c>
      <c r="E697" s="22" t="s">
        <v>108</v>
      </c>
      <c r="F697" s="21"/>
      <c r="G697" s="16"/>
      <c r="H697" s="21"/>
      <c r="I697" s="21"/>
      <c r="J697" s="21" t="s">
        <v>2259</v>
      </c>
      <c r="K697" s="21"/>
      <c r="L697" s="22" t="s">
        <v>2260</v>
      </c>
      <c r="M697" s="21"/>
      <c r="O697" s="21"/>
      <c r="P697" s="21"/>
      <c r="Q697" s="21" t="s">
        <v>2259</v>
      </c>
      <c r="R697" s="21"/>
      <c r="S697" s="21" t="s">
        <v>2260</v>
      </c>
      <c r="T697" s="13">
        <v>1100</v>
      </c>
      <c r="U697" s="23">
        <v>44307</v>
      </c>
      <c r="V697" s="23">
        <v>44309</v>
      </c>
      <c r="W697" s="13">
        <v>0</v>
      </c>
      <c r="X697" s="16"/>
      <c r="Z697" s="27"/>
    </row>
    <row r="698" spans="1:26" ht="60" x14ac:dyDescent="0.25">
      <c r="A698" s="28">
        <v>0</v>
      </c>
      <c r="B698" s="21">
        <v>80204250585</v>
      </c>
      <c r="C698" s="22" t="s">
        <v>48</v>
      </c>
      <c r="D698" s="22" t="s">
        <v>2261</v>
      </c>
      <c r="E698" s="22" t="s">
        <v>108</v>
      </c>
      <c r="F698" s="21"/>
      <c r="G698" s="16"/>
      <c r="H698" s="21"/>
      <c r="I698" s="21"/>
      <c r="J698" s="21" t="s">
        <v>2262</v>
      </c>
      <c r="K698" s="21"/>
      <c r="L698" s="22" t="s">
        <v>2263</v>
      </c>
      <c r="M698" s="21"/>
      <c r="N698" s="21"/>
      <c r="O698" s="21"/>
      <c r="P698" s="21"/>
      <c r="Q698" s="21" t="s">
        <v>2262</v>
      </c>
      <c r="R698" s="21"/>
      <c r="S698" s="21" t="s">
        <v>2263</v>
      </c>
      <c r="T698" s="13">
        <v>19400</v>
      </c>
      <c r="U698" s="23">
        <v>44284</v>
      </c>
      <c r="V698" s="23">
        <v>44496</v>
      </c>
      <c r="W698" s="13">
        <v>18000</v>
      </c>
      <c r="X698" s="16"/>
      <c r="Z698" s="27"/>
    </row>
    <row r="699" spans="1:26" ht="120" x14ac:dyDescent="0.25">
      <c r="A699" s="28">
        <v>0</v>
      </c>
      <c r="B699" s="21">
        <v>80204250585</v>
      </c>
      <c r="C699" s="22" t="s">
        <v>48</v>
      </c>
      <c r="D699" s="27" t="s">
        <v>2264</v>
      </c>
      <c r="E699" s="22" t="s">
        <v>108</v>
      </c>
      <c r="F699" s="21"/>
      <c r="G699" s="16"/>
      <c r="H699" s="21"/>
      <c r="I699" s="21"/>
      <c r="J699" s="21" t="s">
        <v>2265</v>
      </c>
      <c r="K699" s="21"/>
      <c r="L699" s="22" t="s">
        <v>2266</v>
      </c>
      <c r="M699" s="21"/>
      <c r="O699" s="21"/>
      <c r="P699" s="21"/>
      <c r="Q699" s="21" t="s">
        <v>2265</v>
      </c>
      <c r="R699" s="21"/>
      <c r="S699" s="21" t="s">
        <v>2266</v>
      </c>
      <c r="T699" s="13">
        <v>4800</v>
      </c>
      <c r="U699" s="23">
        <v>44325</v>
      </c>
      <c r="V699" s="23">
        <v>44449</v>
      </c>
      <c r="W699" s="13">
        <v>4800</v>
      </c>
      <c r="X699" s="16"/>
      <c r="Z699" s="27"/>
    </row>
    <row r="700" spans="1:26" ht="105" x14ac:dyDescent="0.25">
      <c r="A700" s="28">
        <v>0</v>
      </c>
      <c r="B700" s="21">
        <v>80204250585</v>
      </c>
      <c r="C700" s="22" t="s">
        <v>48</v>
      </c>
      <c r="D700" s="22" t="s">
        <v>2267</v>
      </c>
      <c r="E700" s="22" t="s">
        <v>108</v>
      </c>
      <c r="F700" s="21"/>
      <c r="G700" s="16"/>
      <c r="H700" s="21"/>
      <c r="I700" s="21"/>
      <c r="J700" s="21" t="s">
        <v>2268</v>
      </c>
      <c r="K700" s="21"/>
      <c r="L700" s="27" t="s">
        <v>2269</v>
      </c>
      <c r="M700" s="21"/>
      <c r="O700" s="21"/>
      <c r="P700" s="21"/>
      <c r="Q700" s="21" t="s">
        <v>2268</v>
      </c>
      <c r="R700" s="21"/>
      <c r="S700" s="16" t="s">
        <v>2269</v>
      </c>
      <c r="T700" s="13">
        <v>500</v>
      </c>
      <c r="U700" s="23">
        <v>44350</v>
      </c>
      <c r="V700" s="23">
        <v>44531</v>
      </c>
      <c r="W700" s="13">
        <v>210</v>
      </c>
      <c r="X700" s="16"/>
      <c r="Z700" s="27"/>
    </row>
    <row r="701" spans="1:26" ht="75" x14ac:dyDescent="0.25">
      <c r="A701" s="28" t="s">
        <v>2270</v>
      </c>
      <c r="B701" s="21">
        <v>80204250585</v>
      </c>
      <c r="C701" s="22" t="s">
        <v>48</v>
      </c>
      <c r="D701" s="22" t="s">
        <v>2271</v>
      </c>
      <c r="E701" s="22" t="s">
        <v>108</v>
      </c>
      <c r="F701" s="21"/>
      <c r="G701" s="16"/>
      <c r="H701" s="21"/>
      <c r="I701" s="21"/>
      <c r="J701" s="21" t="s">
        <v>2272</v>
      </c>
      <c r="K701" s="21"/>
      <c r="L701" s="22" t="s">
        <v>2273</v>
      </c>
      <c r="M701" s="21"/>
      <c r="O701" s="21"/>
      <c r="P701" s="21"/>
      <c r="Q701" s="21" t="s">
        <v>2272</v>
      </c>
      <c r="R701" s="21"/>
      <c r="S701" s="21" t="s">
        <v>2273</v>
      </c>
      <c r="T701" s="13">
        <v>3096</v>
      </c>
      <c r="U701" s="23">
        <v>44197</v>
      </c>
      <c r="V701" s="23">
        <v>44561</v>
      </c>
      <c r="W701" s="13">
        <f>2120+280+180+252</f>
        <v>2832</v>
      </c>
      <c r="X701" s="16"/>
      <c r="Z701" s="27"/>
    </row>
    <row r="702" spans="1:26" ht="90" x14ac:dyDescent="0.25">
      <c r="A702" s="28" t="s">
        <v>2274</v>
      </c>
      <c r="B702" s="21">
        <v>80204250585</v>
      </c>
      <c r="C702" s="22" t="s">
        <v>48</v>
      </c>
      <c r="D702" s="22" t="s">
        <v>2275</v>
      </c>
      <c r="E702" s="22" t="s">
        <v>54</v>
      </c>
      <c r="F702" s="21"/>
      <c r="G702" s="16"/>
      <c r="H702" s="21"/>
      <c r="I702" s="21"/>
      <c r="J702" s="21" t="s">
        <v>2276</v>
      </c>
      <c r="K702" s="21"/>
      <c r="L702" s="22" t="s">
        <v>2277</v>
      </c>
      <c r="M702" s="21"/>
      <c r="O702" s="21"/>
      <c r="P702" s="21"/>
      <c r="Q702" s="21" t="s">
        <v>2276</v>
      </c>
      <c r="R702" s="21"/>
      <c r="S702" s="21" t="s">
        <v>2277</v>
      </c>
      <c r="T702" s="13">
        <v>117600</v>
      </c>
      <c r="U702" s="23">
        <v>44389</v>
      </c>
      <c r="V702" s="23">
        <v>44620</v>
      </c>
      <c r="W702" s="13">
        <f>36122+64682</f>
        <v>100804</v>
      </c>
      <c r="X702" s="16"/>
      <c r="Z702" s="27"/>
    </row>
    <row r="703" spans="1:26" ht="90" x14ac:dyDescent="0.25">
      <c r="A703" s="28" t="s">
        <v>2278</v>
      </c>
      <c r="B703" s="21">
        <v>80204250585</v>
      </c>
      <c r="C703" s="22" t="s">
        <v>48</v>
      </c>
      <c r="D703" s="22" t="s">
        <v>2279</v>
      </c>
      <c r="E703" s="22" t="s">
        <v>108</v>
      </c>
      <c r="F703" s="21"/>
      <c r="G703" s="16"/>
      <c r="H703" s="21"/>
      <c r="I703" s="21"/>
      <c r="J703" s="21" t="s">
        <v>2276</v>
      </c>
      <c r="K703" s="21"/>
      <c r="L703" s="22" t="s">
        <v>2277</v>
      </c>
      <c r="M703" s="21"/>
      <c r="O703" s="21"/>
      <c r="P703" s="21"/>
      <c r="Q703" s="21" t="s">
        <v>2276</v>
      </c>
      <c r="R703" s="21"/>
      <c r="S703" s="21" t="s">
        <v>2277</v>
      </c>
      <c r="T703" s="13">
        <v>39000</v>
      </c>
      <c r="U703" s="23">
        <v>44396</v>
      </c>
      <c r="V703" s="23">
        <v>44561</v>
      </c>
      <c r="W703" s="13">
        <v>39000</v>
      </c>
      <c r="X703" s="16"/>
      <c r="Z703" s="27"/>
    </row>
    <row r="704" spans="1:26" ht="195" x14ac:dyDescent="0.25">
      <c r="A704" s="24" t="s">
        <v>967</v>
      </c>
      <c r="B704" s="21">
        <v>80204250585</v>
      </c>
      <c r="C704" s="22" t="s">
        <v>48</v>
      </c>
      <c r="D704" s="22" t="s">
        <v>2280</v>
      </c>
      <c r="E704" s="22" t="s">
        <v>108</v>
      </c>
      <c r="F704" s="21"/>
      <c r="G704" s="16"/>
      <c r="H704" s="21"/>
      <c r="I704" s="21"/>
      <c r="J704" s="21" t="s">
        <v>2185</v>
      </c>
      <c r="K704" s="21"/>
      <c r="L704" s="22" t="s">
        <v>2186</v>
      </c>
      <c r="M704" s="21"/>
      <c r="O704" s="21"/>
      <c r="P704" s="21"/>
      <c r="Q704" s="21" t="s">
        <v>2185</v>
      </c>
      <c r="R704" s="21"/>
      <c r="S704" s="21" t="s">
        <v>2186</v>
      </c>
      <c r="T704" s="13">
        <v>47400</v>
      </c>
      <c r="U704" s="23">
        <v>44414</v>
      </c>
      <c r="V704" s="23">
        <v>44561</v>
      </c>
      <c r="W704" s="13">
        <f>8880+26640</f>
        <v>35520</v>
      </c>
      <c r="X704" s="16"/>
      <c r="Z704" s="27"/>
    </row>
    <row r="705" spans="1:26" ht="75" x14ac:dyDescent="0.25">
      <c r="A705" s="28" t="s">
        <v>2281</v>
      </c>
      <c r="B705" s="21">
        <v>80204250585</v>
      </c>
      <c r="C705" s="22" t="s">
        <v>48</v>
      </c>
      <c r="D705" s="22" t="s">
        <v>2282</v>
      </c>
      <c r="E705" s="22" t="s">
        <v>108</v>
      </c>
      <c r="F705" s="21"/>
      <c r="G705" s="16"/>
      <c r="H705" s="21"/>
      <c r="I705" s="21"/>
      <c r="J705" s="21" t="s">
        <v>2283</v>
      </c>
      <c r="K705" s="21"/>
      <c r="L705" s="22" t="s">
        <v>931</v>
      </c>
      <c r="M705" s="21"/>
      <c r="O705" s="21"/>
      <c r="P705" s="21"/>
      <c r="Q705" s="21" t="s">
        <v>2283</v>
      </c>
      <c r="R705" s="21"/>
      <c r="S705" s="21" t="s">
        <v>931</v>
      </c>
      <c r="T705" s="13">
        <v>50000</v>
      </c>
      <c r="U705" s="23">
        <v>44414</v>
      </c>
      <c r="V705" s="23">
        <v>44561</v>
      </c>
      <c r="W705" s="13">
        <f>9000+9000+27000+271.96+271.96</f>
        <v>45543.92</v>
      </c>
      <c r="X705" s="16"/>
      <c r="Z705" s="27"/>
    </row>
    <row r="706" spans="1:26" ht="45" x14ac:dyDescent="0.25">
      <c r="A706" s="28">
        <v>0</v>
      </c>
      <c r="B706" s="21">
        <v>80204250585</v>
      </c>
      <c r="C706" s="22" t="s">
        <v>48</v>
      </c>
      <c r="D706" s="27" t="s">
        <v>2284</v>
      </c>
      <c r="E706" s="22" t="s">
        <v>108</v>
      </c>
      <c r="F706" s="21"/>
      <c r="G706" s="16"/>
      <c r="H706" s="21"/>
      <c r="I706" s="21"/>
      <c r="J706" s="21" t="s">
        <v>2285</v>
      </c>
      <c r="K706" s="21"/>
      <c r="L706" s="22" t="s">
        <v>651</v>
      </c>
      <c r="M706" s="21"/>
      <c r="O706" s="21"/>
      <c r="P706" s="21"/>
      <c r="Q706" s="21" t="s">
        <v>2285</v>
      </c>
      <c r="R706" s="21"/>
      <c r="S706" s="21" t="s">
        <v>651</v>
      </c>
      <c r="T706" s="13">
        <v>7000</v>
      </c>
      <c r="U706" s="23">
        <v>44470</v>
      </c>
      <c r="V706" s="23">
        <v>44708</v>
      </c>
      <c r="W706" s="13">
        <v>3500</v>
      </c>
      <c r="X706" s="16"/>
      <c r="Z706" s="27"/>
    </row>
    <row r="707" spans="1:26" ht="60" x14ac:dyDescent="0.25">
      <c r="A707" s="28">
        <v>0</v>
      </c>
      <c r="B707" s="21">
        <v>80204250585</v>
      </c>
      <c r="C707" s="22" t="s">
        <v>48</v>
      </c>
      <c r="D707" s="22" t="s">
        <v>2286</v>
      </c>
      <c r="E707" s="22" t="s">
        <v>108</v>
      </c>
      <c r="F707" s="21"/>
      <c r="G707" s="16"/>
      <c r="H707" s="21"/>
      <c r="I707" s="21"/>
      <c r="J707" s="21" t="s">
        <v>2287</v>
      </c>
      <c r="K707" s="21"/>
      <c r="L707" s="22" t="s">
        <v>2288</v>
      </c>
      <c r="M707" s="21"/>
      <c r="O707" s="21"/>
      <c r="P707" s="21"/>
      <c r="Q707" s="21" t="s">
        <v>2287</v>
      </c>
      <c r="R707" s="21"/>
      <c r="S707" s="21" t="s">
        <v>2288</v>
      </c>
      <c r="T707" s="13">
        <v>299</v>
      </c>
      <c r="U707" s="23">
        <v>44470</v>
      </c>
      <c r="V707" s="23">
        <v>44471</v>
      </c>
      <c r="W707" s="13">
        <v>0</v>
      </c>
      <c r="X707" s="16"/>
      <c r="Z707" s="27"/>
    </row>
    <row r="708" spans="1:26" ht="45" x14ac:dyDescent="0.25">
      <c r="A708" s="28">
        <v>0</v>
      </c>
      <c r="B708" s="21">
        <v>80204250585</v>
      </c>
      <c r="C708" s="22" t="s">
        <v>48</v>
      </c>
      <c r="D708" s="22" t="s">
        <v>2289</v>
      </c>
      <c r="E708" s="22" t="s">
        <v>108</v>
      </c>
      <c r="F708" s="21"/>
      <c r="G708" s="16"/>
      <c r="H708" s="21"/>
      <c r="I708" s="21"/>
      <c r="J708" s="21" t="s">
        <v>2290</v>
      </c>
      <c r="K708" s="21"/>
      <c r="L708" s="22" t="s">
        <v>2291</v>
      </c>
      <c r="M708" s="21"/>
      <c r="O708" s="21"/>
      <c r="P708" s="21"/>
      <c r="Q708" s="21" t="s">
        <v>2290</v>
      </c>
      <c r="R708" s="21"/>
      <c r="S708" s="21" t="s">
        <v>2291</v>
      </c>
      <c r="T708" s="13">
        <v>7000</v>
      </c>
      <c r="U708" s="23">
        <v>44509</v>
      </c>
      <c r="V708" s="23">
        <v>44742</v>
      </c>
      <c r="W708" s="13">
        <v>5000</v>
      </c>
      <c r="X708" s="16"/>
      <c r="Z708" s="27"/>
    </row>
    <row r="709" spans="1:26" ht="45" x14ac:dyDescent="0.25">
      <c r="A709" s="28">
        <v>0</v>
      </c>
      <c r="B709" s="21">
        <v>80204250585</v>
      </c>
      <c r="C709" s="22" t="s">
        <v>48</v>
      </c>
      <c r="D709" s="22" t="s">
        <v>2289</v>
      </c>
      <c r="E709" s="22" t="s">
        <v>108</v>
      </c>
      <c r="F709" s="21"/>
      <c r="G709" s="16"/>
      <c r="H709" s="21"/>
      <c r="I709" s="21"/>
      <c r="J709" s="21" t="s">
        <v>2290</v>
      </c>
      <c r="K709" s="21"/>
      <c r="L709" s="22" t="s">
        <v>2291</v>
      </c>
      <c r="M709" s="21"/>
      <c r="O709" s="21"/>
      <c r="P709" s="21"/>
      <c r="Q709" s="21" t="s">
        <v>2290</v>
      </c>
      <c r="R709" s="21"/>
      <c r="S709" s="21" t="s">
        <v>2291</v>
      </c>
      <c r="T709" s="13">
        <v>7000</v>
      </c>
      <c r="U709" s="23">
        <v>44509</v>
      </c>
      <c r="V709" s="23">
        <v>44742</v>
      </c>
      <c r="W709" s="13">
        <v>5000</v>
      </c>
      <c r="X709" s="16"/>
      <c r="Z709" s="27"/>
    </row>
    <row r="710" spans="1:26" ht="60" x14ac:dyDescent="0.25">
      <c r="A710" s="28">
        <v>0</v>
      </c>
      <c r="B710" s="21">
        <v>80204250585</v>
      </c>
      <c r="C710" s="22" t="s">
        <v>48</v>
      </c>
      <c r="D710" s="22" t="s">
        <v>2292</v>
      </c>
      <c r="E710" s="22" t="s">
        <v>108</v>
      </c>
      <c r="F710" s="21"/>
      <c r="G710" s="16"/>
      <c r="H710" s="21"/>
      <c r="I710" s="21"/>
      <c r="J710" s="21" t="s">
        <v>2236</v>
      </c>
      <c r="K710" s="21"/>
      <c r="L710" s="22" t="s">
        <v>2237</v>
      </c>
      <c r="M710" s="21"/>
      <c r="O710" s="21"/>
      <c r="P710" s="21"/>
      <c r="Q710" s="21" t="s">
        <v>2236</v>
      </c>
      <c r="R710" s="21"/>
      <c r="S710" s="21" t="s">
        <v>2237</v>
      </c>
      <c r="T710" s="13">
        <v>900</v>
      </c>
      <c r="U710" s="23">
        <v>44530</v>
      </c>
      <c r="V710" s="23">
        <v>44530</v>
      </c>
      <c r="W710" s="13">
        <v>900</v>
      </c>
      <c r="X710" s="16"/>
      <c r="Z710" s="27"/>
    </row>
    <row r="711" spans="1:26" ht="90" x14ac:dyDescent="0.25">
      <c r="A711" s="28">
        <v>0</v>
      </c>
      <c r="B711" s="21">
        <v>80204250585</v>
      </c>
      <c r="C711" s="22" t="s">
        <v>48</v>
      </c>
      <c r="D711" s="27" t="s">
        <v>2293</v>
      </c>
      <c r="E711" s="22" t="s">
        <v>108</v>
      </c>
      <c r="F711" s="21"/>
      <c r="G711" s="16"/>
      <c r="H711" s="21"/>
      <c r="I711" s="21"/>
      <c r="J711" s="21" t="s">
        <v>2218</v>
      </c>
      <c r="K711" s="21"/>
      <c r="L711" s="22" t="s">
        <v>2219</v>
      </c>
      <c r="M711" s="21"/>
      <c r="O711" s="21"/>
      <c r="P711" s="21"/>
      <c r="Q711" s="21" t="s">
        <v>2218</v>
      </c>
      <c r="R711" s="21"/>
      <c r="S711" s="21" t="s">
        <v>2219</v>
      </c>
      <c r="T711" s="13">
        <v>220</v>
      </c>
      <c r="U711" s="23">
        <v>44530</v>
      </c>
      <c r="V711" s="23">
        <v>44530</v>
      </c>
      <c r="W711" s="13">
        <v>190</v>
      </c>
      <c r="X711" s="16"/>
      <c r="Z711" s="27"/>
    </row>
    <row r="712" spans="1:26" ht="75" x14ac:dyDescent="0.25">
      <c r="A712" s="28">
        <v>0</v>
      </c>
      <c r="B712" s="21">
        <v>80204250585</v>
      </c>
      <c r="C712" s="22" t="s">
        <v>48</v>
      </c>
      <c r="D712" s="27" t="s">
        <v>2294</v>
      </c>
      <c r="E712" s="22" t="s">
        <v>108</v>
      </c>
      <c r="F712" s="21"/>
      <c r="G712" s="16"/>
      <c r="H712" s="21"/>
      <c r="I712" s="21"/>
      <c r="J712" s="21" t="s">
        <v>2218</v>
      </c>
      <c r="K712" s="21"/>
      <c r="L712" s="22" t="s">
        <v>2219</v>
      </c>
      <c r="M712" s="21"/>
      <c r="O712" s="21"/>
      <c r="P712" s="21"/>
      <c r="Q712" s="21" t="s">
        <v>2218</v>
      </c>
      <c r="R712" s="21"/>
      <c r="S712" s="21" t="s">
        <v>2219</v>
      </c>
      <c r="T712" s="13">
        <v>290</v>
      </c>
      <c r="U712" s="23">
        <v>44533</v>
      </c>
      <c r="V712" s="23">
        <v>44533</v>
      </c>
      <c r="W712" s="13">
        <v>250</v>
      </c>
      <c r="X712" s="16"/>
      <c r="Z712" s="27"/>
    </row>
    <row r="713" spans="1:26" ht="90" x14ac:dyDescent="0.25">
      <c r="A713" s="28">
        <v>0</v>
      </c>
      <c r="B713" s="21">
        <v>80204250585</v>
      </c>
      <c r="C713" s="22" t="s">
        <v>48</v>
      </c>
      <c r="D713" s="22" t="s">
        <v>2295</v>
      </c>
      <c r="E713" s="22" t="s">
        <v>108</v>
      </c>
      <c r="F713" s="21"/>
      <c r="G713" s="16"/>
      <c r="H713" s="21"/>
      <c r="I713" s="21"/>
      <c r="J713" s="21" t="s">
        <v>2276</v>
      </c>
      <c r="K713" s="21"/>
      <c r="L713" s="22" t="s">
        <v>2277</v>
      </c>
      <c r="M713" s="21"/>
      <c r="O713" s="21"/>
      <c r="P713" s="21"/>
      <c r="Q713" s="21" t="s">
        <v>2276</v>
      </c>
      <c r="R713" s="21"/>
      <c r="S713" s="21" t="s">
        <v>2277</v>
      </c>
      <c r="T713" s="13">
        <v>1548</v>
      </c>
      <c r="U713" s="23">
        <v>44547</v>
      </c>
      <c r="V713" s="23">
        <v>44596</v>
      </c>
      <c r="W713" s="13">
        <v>1398</v>
      </c>
      <c r="X713" s="16"/>
      <c r="Z713" s="27"/>
    </row>
    <row r="714" spans="1:26" ht="120" x14ac:dyDescent="0.25">
      <c r="A714" s="28">
        <v>9046036110</v>
      </c>
      <c r="B714" s="21">
        <v>80204250585</v>
      </c>
      <c r="C714" s="22" t="s">
        <v>48</v>
      </c>
      <c r="D714" s="22" t="s">
        <v>2296</v>
      </c>
      <c r="E714" s="22" t="s">
        <v>108</v>
      </c>
      <c r="F714" s="21"/>
      <c r="G714" s="16"/>
      <c r="H714" s="21"/>
      <c r="I714" s="21"/>
      <c r="J714" s="21" t="s">
        <v>694</v>
      </c>
      <c r="K714" s="21"/>
      <c r="L714" s="22" t="s">
        <v>2231</v>
      </c>
      <c r="M714" s="21"/>
      <c r="O714" s="21"/>
      <c r="P714" s="21"/>
      <c r="Q714" s="21" t="s">
        <v>694</v>
      </c>
      <c r="R714" s="21"/>
      <c r="S714" s="21" t="s">
        <v>2231</v>
      </c>
      <c r="T714" s="13">
        <v>40000</v>
      </c>
      <c r="U714" s="23">
        <v>44593</v>
      </c>
      <c r="V714" s="23">
        <v>44773</v>
      </c>
      <c r="W714" s="13">
        <f>32000+8000</f>
        <v>40000</v>
      </c>
      <c r="X714" s="16"/>
      <c r="Z714" s="27"/>
    </row>
    <row r="715" spans="1:26" ht="60" x14ac:dyDescent="0.25">
      <c r="A715" s="28">
        <v>0</v>
      </c>
      <c r="B715" s="21">
        <v>80204250585</v>
      </c>
      <c r="C715" s="22" t="s">
        <v>48</v>
      </c>
      <c r="D715" s="22" t="s">
        <v>2297</v>
      </c>
      <c r="E715" s="22" t="s">
        <v>108</v>
      </c>
      <c r="F715" s="21"/>
      <c r="G715" s="16"/>
      <c r="H715" s="21"/>
      <c r="I715" s="21"/>
      <c r="J715" s="21" t="s">
        <v>1895</v>
      </c>
      <c r="K715" s="21"/>
      <c r="L715" s="22" t="s">
        <v>2118</v>
      </c>
      <c r="M715" s="21"/>
      <c r="O715" s="21"/>
      <c r="P715" s="21"/>
      <c r="Q715" s="21" t="s">
        <v>1895</v>
      </c>
      <c r="R715" s="21"/>
      <c r="S715" s="21" t="s">
        <v>2118</v>
      </c>
      <c r="T715" s="13">
        <v>120.78</v>
      </c>
      <c r="U715" s="23">
        <v>44531</v>
      </c>
      <c r="V715" s="23">
        <v>44561</v>
      </c>
      <c r="W715" s="13">
        <v>0</v>
      </c>
      <c r="X715" s="16"/>
      <c r="Z715" s="27"/>
    </row>
    <row r="716" spans="1:26" ht="90" x14ac:dyDescent="0.25">
      <c r="A716" s="28" t="s">
        <v>2298</v>
      </c>
      <c r="B716" s="21">
        <v>80204250585</v>
      </c>
      <c r="C716" s="22" t="s">
        <v>48</v>
      </c>
      <c r="D716" s="22" t="s">
        <v>2299</v>
      </c>
      <c r="E716" s="22" t="s">
        <v>108</v>
      </c>
      <c r="F716" s="21"/>
      <c r="G716" s="16"/>
      <c r="H716" s="21"/>
      <c r="I716" s="21"/>
      <c r="J716" s="21" t="s">
        <v>2276</v>
      </c>
      <c r="K716" s="21"/>
      <c r="L716" s="22" t="s">
        <v>2277</v>
      </c>
      <c r="M716" s="21"/>
      <c r="O716" s="21"/>
      <c r="P716" s="21"/>
      <c r="Q716" s="21" t="s">
        <v>2276</v>
      </c>
      <c r="R716" s="21"/>
      <c r="S716" s="21" t="s">
        <v>2277</v>
      </c>
      <c r="T716" s="13">
        <v>4000</v>
      </c>
      <c r="U716" s="23">
        <v>44540</v>
      </c>
      <c r="V716" s="23">
        <v>44543</v>
      </c>
      <c r="W716" s="13">
        <v>4000</v>
      </c>
      <c r="X716" s="16"/>
      <c r="Z716" s="27"/>
    </row>
    <row r="717" spans="1:26" ht="75" x14ac:dyDescent="0.25">
      <c r="A717" s="28">
        <v>0</v>
      </c>
      <c r="B717" s="21">
        <v>80204250585</v>
      </c>
      <c r="C717" s="22" t="s">
        <v>48</v>
      </c>
      <c r="D717" s="22" t="s">
        <v>2300</v>
      </c>
      <c r="E717" s="22" t="s">
        <v>108</v>
      </c>
      <c r="F717" s="21"/>
      <c r="G717" s="16"/>
      <c r="H717" s="21"/>
      <c r="I717" s="21"/>
      <c r="J717" s="21" t="s">
        <v>2236</v>
      </c>
      <c r="K717" s="21"/>
      <c r="L717" s="22" t="s">
        <v>2237</v>
      </c>
      <c r="M717" s="21"/>
      <c r="O717" s="21"/>
      <c r="P717" s="21"/>
      <c r="Q717" s="21" t="s">
        <v>2236</v>
      </c>
      <c r="R717" s="21"/>
      <c r="S717" s="21" t="s">
        <v>2237</v>
      </c>
      <c r="T717" s="13">
        <v>552</v>
      </c>
      <c r="U717" s="23">
        <v>44574</v>
      </c>
      <c r="V717" s="23">
        <v>44574</v>
      </c>
      <c r="W717" s="13">
        <v>552</v>
      </c>
      <c r="X717" s="16"/>
      <c r="Z717" s="27"/>
    </row>
    <row r="718" spans="1:26" ht="75" x14ac:dyDescent="0.25">
      <c r="A718" s="28">
        <v>0</v>
      </c>
      <c r="B718" s="21">
        <v>80204250585</v>
      </c>
      <c r="C718" s="22" t="s">
        <v>48</v>
      </c>
      <c r="D718" s="22" t="s">
        <v>2300</v>
      </c>
      <c r="E718" s="22" t="s">
        <v>108</v>
      </c>
      <c r="F718" s="21"/>
      <c r="G718" s="16"/>
      <c r="H718" s="21"/>
      <c r="I718" s="21"/>
      <c r="J718" s="21" t="s">
        <v>2236</v>
      </c>
      <c r="K718" s="21"/>
      <c r="L718" s="22" t="s">
        <v>2237</v>
      </c>
      <c r="M718" s="21"/>
      <c r="O718" s="21"/>
      <c r="P718" s="21"/>
      <c r="Q718" s="21" t="s">
        <v>2236</v>
      </c>
      <c r="R718" s="21"/>
      <c r="S718" s="21" t="s">
        <v>2237</v>
      </c>
      <c r="T718" s="13">
        <v>552</v>
      </c>
      <c r="U718" s="23">
        <v>44574</v>
      </c>
      <c r="V718" s="23">
        <v>44574</v>
      </c>
      <c r="W718" s="13">
        <v>552</v>
      </c>
      <c r="X718" s="16"/>
      <c r="Z718" s="27"/>
    </row>
    <row r="719" spans="1:26" ht="75" x14ac:dyDescent="0.25">
      <c r="A719" s="28">
        <v>0</v>
      </c>
      <c r="B719" s="21">
        <v>80204250585</v>
      </c>
      <c r="C719" s="22" t="s">
        <v>48</v>
      </c>
      <c r="D719" s="22" t="s">
        <v>2300</v>
      </c>
      <c r="E719" s="22" t="s">
        <v>108</v>
      </c>
      <c r="F719" s="21"/>
      <c r="G719" s="16"/>
      <c r="H719" s="21"/>
      <c r="I719" s="21"/>
      <c r="J719" s="21" t="s">
        <v>2236</v>
      </c>
      <c r="K719" s="21"/>
      <c r="L719" s="22" t="s">
        <v>2237</v>
      </c>
      <c r="M719" s="21"/>
      <c r="O719" s="21"/>
      <c r="P719" s="21"/>
      <c r="Q719" s="21" t="s">
        <v>2236</v>
      </c>
      <c r="R719" s="21"/>
      <c r="S719" s="21" t="s">
        <v>2237</v>
      </c>
      <c r="T719" s="13">
        <v>552</v>
      </c>
      <c r="U719" s="23">
        <v>44574</v>
      </c>
      <c r="V719" s="23">
        <v>44574</v>
      </c>
      <c r="W719" s="13">
        <v>552</v>
      </c>
      <c r="X719" s="16"/>
      <c r="Z719" s="27"/>
    </row>
    <row r="720" spans="1:26" ht="75" x14ac:dyDescent="0.25">
      <c r="A720" s="28">
        <v>0</v>
      </c>
      <c r="B720" s="21">
        <v>80204250585</v>
      </c>
      <c r="C720" s="22" t="s">
        <v>48</v>
      </c>
      <c r="D720" s="22" t="s">
        <v>2300</v>
      </c>
      <c r="E720" s="22" t="s">
        <v>108</v>
      </c>
      <c r="F720" s="21"/>
      <c r="G720" s="16"/>
      <c r="H720" s="21"/>
      <c r="I720" s="21"/>
      <c r="J720" s="21" t="s">
        <v>2236</v>
      </c>
      <c r="K720" s="21"/>
      <c r="L720" s="22" t="s">
        <v>2237</v>
      </c>
      <c r="M720" s="21"/>
      <c r="O720" s="21"/>
      <c r="P720" s="21"/>
      <c r="Q720" s="21" t="s">
        <v>2236</v>
      </c>
      <c r="R720" s="21"/>
      <c r="S720" s="21" t="s">
        <v>2237</v>
      </c>
      <c r="T720" s="13">
        <v>552</v>
      </c>
      <c r="U720" s="23">
        <v>44574</v>
      </c>
      <c r="V720" s="23">
        <v>44574</v>
      </c>
      <c r="W720" s="13">
        <v>552</v>
      </c>
      <c r="X720" s="16"/>
      <c r="Z720" s="27"/>
    </row>
    <row r="721" spans="1:26" ht="90" x14ac:dyDescent="0.25">
      <c r="A721" s="28">
        <v>0</v>
      </c>
      <c r="B721" s="21">
        <v>80204250585</v>
      </c>
      <c r="C721" s="22" t="s">
        <v>48</v>
      </c>
      <c r="D721" s="22" t="s">
        <v>2301</v>
      </c>
      <c r="E721" s="22" t="s">
        <v>108</v>
      </c>
      <c r="F721" s="21"/>
      <c r="G721" s="16"/>
      <c r="H721" s="21"/>
      <c r="I721" s="21"/>
      <c r="J721" s="21" t="s">
        <v>2236</v>
      </c>
      <c r="K721" s="21"/>
      <c r="L721" s="22" t="s">
        <v>2237</v>
      </c>
      <c r="M721" s="21"/>
      <c r="O721" s="21"/>
      <c r="P721" s="21"/>
      <c r="Q721" s="21" t="s">
        <v>2236</v>
      </c>
      <c r="R721" s="21"/>
      <c r="S721" s="21" t="s">
        <v>2237</v>
      </c>
      <c r="T721" s="13">
        <v>640</v>
      </c>
      <c r="U721" s="23">
        <v>44580</v>
      </c>
      <c r="V721" s="23">
        <v>44580</v>
      </c>
      <c r="W721" s="13">
        <v>640</v>
      </c>
      <c r="X721" s="16"/>
      <c r="Z721" s="27"/>
    </row>
    <row r="722" spans="1:26" ht="90" x14ac:dyDescent="0.25">
      <c r="A722" s="28">
        <v>0</v>
      </c>
      <c r="B722" s="21">
        <v>80204250585</v>
      </c>
      <c r="C722" s="22" t="s">
        <v>48</v>
      </c>
      <c r="D722" s="22" t="s">
        <v>2301</v>
      </c>
      <c r="E722" s="22" t="s">
        <v>108</v>
      </c>
      <c r="F722" s="21"/>
      <c r="G722" s="16"/>
      <c r="H722" s="21"/>
      <c r="I722" s="21"/>
      <c r="J722" s="21" t="s">
        <v>2236</v>
      </c>
      <c r="K722" s="21"/>
      <c r="L722" s="22" t="s">
        <v>2237</v>
      </c>
      <c r="M722" s="21"/>
      <c r="O722" s="21"/>
      <c r="P722" s="21"/>
      <c r="Q722" s="21" t="s">
        <v>2236</v>
      </c>
      <c r="R722" s="21"/>
      <c r="S722" s="21" t="s">
        <v>2237</v>
      </c>
      <c r="T722" s="13">
        <v>640</v>
      </c>
      <c r="U722" s="23">
        <v>44580</v>
      </c>
      <c r="V722" s="23">
        <v>44580</v>
      </c>
      <c r="W722" s="13">
        <v>640</v>
      </c>
      <c r="X722" s="16"/>
      <c r="Z722" s="27"/>
    </row>
    <row r="723" spans="1:26" ht="75" x14ac:dyDescent="0.25">
      <c r="A723" s="28">
        <v>0</v>
      </c>
      <c r="B723" s="21">
        <v>80204250585</v>
      </c>
      <c r="C723" s="22" t="s">
        <v>48</v>
      </c>
      <c r="D723" s="27" t="s">
        <v>2302</v>
      </c>
      <c r="E723" s="22" t="s">
        <v>108</v>
      </c>
      <c r="F723" s="21"/>
      <c r="G723" s="16"/>
      <c r="H723" s="21"/>
      <c r="I723" s="21"/>
      <c r="J723" s="21" t="s">
        <v>2236</v>
      </c>
      <c r="K723" s="21"/>
      <c r="L723" s="22" t="s">
        <v>2237</v>
      </c>
      <c r="M723" s="21"/>
      <c r="O723" s="21"/>
      <c r="P723" s="21"/>
      <c r="Q723" s="21" t="s">
        <v>2236</v>
      </c>
      <c r="R723" s="21"/>
      <c r="S723" s="21" t="s">
        <v>2237</v>
      </c>
      <c r="T723" s="13">
        <v>552</v>
      </c>
      <c r="U723" s="23">
        <v>44593</v>
      </c>
      <c r="V723" s="23">
        <v>44593</v>
      </c>
      <c r="W723" s="13">
        <v>552</v>
      </c>
      <c r="X723" s="16"/>
      <c r="Z723" s="27"/>
    </row>
    <row r="724" spans="1:26" ht="75" x14ac:dyDescent="0.25">
      <c r="A724" s="28">
        <v>0</v>
      </c>
      <c r="B724" s="21">
        <v>80204250585</v>
      </c>
      <c r="C724" s="22" t="s">
        <v>48</v>
      </c>
      <c r="D724" s="27" t="s">
        <v>2302</v>
      </c>
      <c r="E724" s="22" t="s">
        <v>108</v>
      </c>
      <c r="F724" s="21"/>
      <c r="G724" s="16"/>
      <c r="H724" s="21"/>
      <c r="I724" s="21"/>
      <c r="J724" s="21" t="s">
        <v>2236</v>
      </c>
      <c r="K724" s="21"/>
      <c r="L724" s="22" t="s">
        <v>2237</v>
      </c>
      <c r="M724" s="21"/>
      <c r="O724" s="21"/>
      <c r="P724" s="21"/>
      <c r="Q724" s="21" t="s">
        <v>2236</v>
      </c>
      <c r="R724" s="21"/>
      <c r="S724" s="21" t="s">
        <v>2237</v>
      </c>
      <c r="T724" s="13">
        <v>552</v>
      </c>
      <c r="U724" s="23">
        <v>44593</v>
      </c>
      <c r="V724" s="23">
        <v>44593</v>
      </c>
      <c r="W724" s="13">
        <v>552</v>
      </c>
      <c r="X724" s="16"/>
      <c r="Z724" s="27"/>
    </row>
    <row r="725" spans="1:26" ht="75" x14ac:dyDescent="0.25">
      <c r="A725" s="28">
        <v>0</v>
      </c>
      <c r="B725" s="21">
        <v>80204250585</v>
      </c>
      <c r="C725" s="22" t="s">
        <v>48</v>
      </c>
      <c r="D725" s="27" t="s">
        <v>2302</v>
      </c>
      <c r="E725" s="22" t="s">
        <v>108</v>
      </c>
      <c r="F725" s="21"/>
      <c r="G725" s="16"/>
      <c r="H725" s="21"/>
      <c r="I725" s="21"/>
      <c r="J725" s="21" t="s">
        <v>2236</v>
      </c>
      <c r="K725" s="21"/>
      <c r="L725" s="22" t="s">
        <v>2237</v>
      </c>
      <c r="M725" s="21"/>
      <c r="O725" s="21"/>
      <c r="P725" s="21"/>
      <c r="Q725" s="21" t="s">
        <v>2236</v>
      </c>
      <c r="R725" s="21"/>
      <c r="S725" s="21" t="s">
        <v>2237</v>
      </c>
      <c r="T725" s="13">
        <v>552</v>
      </c>
      <c r="U725" s="23">
        <v>44593</v>
      </c>
      <c r="V725" s="23">
        <v>44593</v>
      </c>
      <c r="W725" s="13">
        <v>552</v>
      </c>
      <c r="X725" s="16"/>
      <c r="Z725" s="27"/>
    </row>
    <row r="726" spans="1:26" ht="75" x14ac:dyDescent="0.25">
      <c r="A726" s="28">
        <v>0</v>
      </c>
      <c r="B726" s="21">
        <v>80204250585</v>
      </c>
      <c r="C726" s="22" t="s">
        <v>48</v>
      </c>
      <c r="D726" s="27" t="s">
        <v>2302</v>
      </c>
      <c r="E726" s="22" t="s">
        <v>108</v>
      </c>
      <c r="F726" s="21"/>
      <c r="G726" s="16"/>
      <c r="H726" s="21"/>
      <c r="I726" s="21"/>
      <c r="J726" s="21" t="s">
        <v>2236</v>
      </c>
      <c r="K726" s="21"/>
      <c r="L726" s="22" t="s">
        <v>2237</v>
      </c>
      <c r="M726" s="21"/>
      <c r="O726" s="21"/>
      <c r="P726" s="21"/>
      <c r="Q726" s="21" t="s">
        <v>2236</v>
      </c>
      <c r="R726" s="21"/>
      <c r="S726" s="21" t="s">
        <v>2237</v>
      </c>
      <c r="T726" s="13">
        <v>500</v>
      </c>
      <c r="U726" s="23">
        <v>44593</v>
      </c>
      <c r="V726" s="23">
        <v>44593</v>
      </c>
      <c r="W726" s="13">
        <v>500</v>
      </c>
      <c r="X726" s="16"/>
      <c r="Z726" s="27"/>
    </row>
    <row r="727" spans="1:26" ht="150" x14ac:dyDescent="0.25">
      <c r="A727" s="28">
        <v>0</v>
      </c>
      <c r="B727" s="21">
        <v>80204250585</v>
      </c>
      <c r="C727" s="22" t="s">
        <v>48</v>
      </c>
      <c r="D727" s="27" t="s">
        <v>2303</v>
      </c>
      <c r="E727" s="22" t="s">
        <v>108</v>
      </c>
      <c r="F727" s="21"/>
      <c r="G727" s="16"/>
      <c r="H727" s="21"/>
      <c r="I727" s="21"/>
      <c r="J727" s="21" t="s">
        <v>2236</v>
      </c>
      <c r="K727" s="21"/>
      <c r="L727" s="22" t="s">
        <v>2237</v>
      </c>
      <c r="M727" s="21"/>
      <c r="O727" s="21"/>
      <c r="P727" s="21"/>
      <c r="Q727" s="21" t="s">
        <v>2236</v>
      </c>
      <c r="R727" s="21"/>
      <c r="S727" s="21" t="s">
        <v>2237</v>
      </c>
      <c r="T727" s="13">
        <v>685</v>
      </c>
      <c r="U727" s="23">
        <v>44593</v>
      </c>
      <c r="V727" s="23">
        <v>44593</v>
      </c>
      <c r="W727" s="13">
        <v>685</v>
      </c>
      <c r="X727" s="16"/>
      <c r="Z727" s="27"/>
    </row>
    <row r="728" spans="1:26" ht="75" x14ac:dyDescent="0.25">
      <c r="A728" s="28">
        <v>0</v>
      </c>
      <c r="B728" s="21">
        <v>80204250585</v>
      </c>
      <c r="C728" s="22" t="s">
        <v>48</v>
      </c>
      <c r="D728" s="27" t="s">
        <v>2302</v>
      </c>
      <c r="E728" s="22" t="s">
        <v>108</v>
      </c>
      <c r="F728" s="21"/>
      <c r="G728" s="16"/>
      <c r="H728" s="21"/>
      <c r="I728" s="21"/>
      <c r="J728" s="21" t="s">
        <v>2236</v>
      </c>
      <c r="K728" s="21"/>
      <c r="L728" s="22" t="s">
        <v>2237</v>
      </c>
      <c r="M728" s="21"/>
      <c r="O728" s="21"/>
      <c r="P728" s="21"/>
      <c r="Q728" s="21" t="s">
        <v>2236</v>
      </c>
      <c r="R728" s="21"/>
      <c r="S728" s="21" t="s">
        <v>2237</v>
      </c>
      <c r="T728" s="13">
        <v>535</v>
      </c>
      <c r="U728" s="23">
        <v>44593</v>
      </c>
      <c r="V728" s="23">
        <v>44593</v>
      </c>
      <c r="W728" s="13">
        <v>535</v>
      </c>
      <c r="X728" s="16"/>
      <c r="Z728" s="27"/>
    </row>
    <row r="729" spans="1:26" ht="150" x14ac:dyDescent="0.25">
      <c r="A729" s="28">
        <v>0</v>
      </c>
      <c r="B729" s="21">
        <v>80204250585</v>
      </c>
      <c r="C729" s="22" t="s">
        <v>48</v>
      </c>
      <c r="D729" s="27" t="s">
        <v>2303</v>
      </c>
      <c r="E729" s="22" t="s">
        <v>108</v>
      </c>
      <c r="F729" s="21"/>
      <c r="G729" s="16"/>
      <c r="H729" s="21"/>
      <c r="I729" s="21"/>
      <c r="J729" s="21" t="s">
        <v>2236</v>
      </c>
      <c r="K729" s="21"/>
      <c r="L729" s="22" t="s">
        <v>2237</v>
      </c>
      <c r="M729" s="21"/>
      <c r="O729" s="21"/>
      <c r="P729" s="21"/>
      <c r="Q729" s="21" t="s">
        <v>2236</v>
      </c>
      <c r="R729" s="21"/>
      <c r="S729" s="21" t="s">
        <v>2237</v>
      </c>
      <c r="T729" s="13">
        <v>650</v>
      </c>
      <c r="U729" s="23">
        <v>44593</v>
      </c>
      <c r="V729" s="23">
        <v>44593</v>
      </c>
      <c r="W729" s="13">
        <v>650</v>
      </c>
      <c r="X729" s="16"/>
      <c r="Z729" s="27"/>
    </row>
    <row r="730" spans="1:26" ht="60" x14ac:dyDescent="0.25">
      <c r="A730" s="28">
        <v>0</v>
      </c>
      <c r="B730" s="21">
        <v>80204250585</v>
      </c>
      <c r="C730" s="22" t="s">
        <v>48</v>
      </c>
      <c r="D730" s="27" t="s">
        <v>2304</v>
      </c>
      <c r="E730" s="22" t="s">
        <v>108</v>
      </c>
      <c r="F730" s="21"/>
      <c r="G730" s="16"/>
      <c r="H730" s="21"/>
      <c r="I730" s="21"/>
      <c r="J730" s="21" t="s">
        <v>2305</v>
      </c>
      <c r="K730" s="21"/>
      <c r="L730" s="22" t="s">
        <v>2306</v>
      </c>
      <c r="M730" s="21"/>
      <c r="O730" s="21"/>
      <c r="P730" s="21"/>
      <c r="Q730" s="21" t="s">
        <v>2305</v>
      </c>
      <c r="R730" s="21"/>
      <c r="S730" s="21" t="s">
        <v>2306</v>
      </c>
      <c r="T730" s="13">
        <v>4516</v>
      </c>
      <c r="U730" s="23">
        <v>44593</v>
      </c>
      <c r="V730" s="23">
        <v>44957</v>
      </c>
      <c r="W730" s="13">
        <v>4516</v>
      </c>
      <c r="X730" s="16"/>
      <c r="Z730" s="27"/>
    </row>
    <row r="731" spans="1:26" ht="105" x14ac:dyDescent="0.25">
      <c r="A731" s="28">
        <v>0</v>
      </c>
      <c r="B731" s="21">
        <v>80204250585</v>
      </c>
      <c r="C731" s="22" t="s">
        <v>48</v>
      </c>
      <c r="D731" s="27" t="s">
        <v>2307</v>
      </c>
      <c r="E731" s="22" t="s">
        <v>108</v>
      </c>
      <c r="F731" s="21"/>
      <c r="G731" s="16"/>
      <c r="H731" s="21"/>
      <c r="I731" s="21"/>
      <c r="J731" s="21" t="s">
        <v>2308</v>
      </c>
      <c r="K731" s="21"/>
      <c r="L731" s="22" t="s">
        <v>2309</v>
      </c>
      <c r="M731" s="21"/>
      <c r="O731" s="21"/>
      <c r="P731" s="21"/>
      <c r="Q731" s="21" t="s">
        <v>2308</v>
      </c>
      <c r="R731" s="21"/>
      <c r="S731" s="21" t="s">
        <v>2309</v>
      </c>
      <c r="T731" s="13">
        <v>340</v>
      </c>
      <c r="U731" s="23">
        <v>44610</v>
      </c>
      <c r="V731" s="23">
        <v>44610</v>
      </c>
      <c r="W731" s="13">
        <v>340</v>
      </c>
      <c r="X731" s="16"/>
      <c r="Z731" s="27"/>
    </row>
    <row r="732" spans="1:26" ht="105" x14ac:dyDescent="0.25">
      <c r="A732" s="28">
        <v>0</v>
      </c>
      <c r="B732" s="21">
        <v>80204250585</v>
      </c>
      <c r="C732" s="22" t="s">
        <v>48</v>
      </c>
      <c r="D732" s="27" t="s">
        <v>2307</v>
      </c>
      <c r="E732" s="22" t="s">
        <v>108</v>
      </c>
      <c r="F732" s="21"/>
      <c r="G732" s="16"/>
      <c r="H732" s="21"/>
      <c r="I732" s="21"/>
      <c r="J732" s="21" t="s">
        <v>2308</v>
      </c>
      <c r="K732" s="21"/>
      <c r="L732" s="22" t="s">
        <v>2309</v>
      </c>
      <c r="M732" s="21"/>
      <c r="O732" s="21"/>
      <c r="P732" s="21"/>
      <c r="Q732" s="21" t="s">
        <v>2308</v>
      </c>
      <c r="R732" s="21"/>
      <c r="S732" s="21" t="s">
        <v>2309</v>
      </c>
      <c r="T732" s="13">
        <v>340</v>
      </c>
      <c r="U732" s="23">
        <v>44610</v>
      </c>
      <c r="V732" s="23">
        <v>44610</v>
      </c>
      <c r="W732" s="13">
        <v>340</v>
      </c>
      <c r="X732" s="16"/>
      <c r="Z732" s="27"/>
    </row>
    <row r="733" spans="1:26" ht="120" x14ac:dyDescent="0.25">
      <c r="A733" s="28">
        <v>0</v>
      </c>
      <c r="B733" s="21">
        <v>80204250585</v>
      </c>
      <c r="C733" s="22" t="s">
        <v>48</v>
      </c>
      <c r="D733" s="22" t="s">
        <v>2310</v>
      </c>
      <c r="E733" s="22" t="s">
        <v>108</v>
      </c>
      <c r="F733" s="21"/>
      <c r="G733" s="16"/>
      <c r="H733" s="21"/>
      <c r="I733" s="21"/>
      <c r="J733" s="21" t="s">
        <v>2236</v>
      </c>
      <c r="K733" s="21"/>
      <c r="L733" s="22" t="s">
        <v>2237</v>
      </c>
      <c r="M733" s="21"/>
      <c r="O733" s="21"/>
      <c r="P733" s="21"/>
      <c r="Q733" s="21" t="s">
        <v>2236</v>
      </c>
      <c r="R733" s="21"/>
      <c r="S733" s="21" t="s">
        <v>2237</v>
      </c>
      <c r="T733" s="13">
        <v>1400</v>
      </c>
      <c r="U733" s="23">
        <v>44602</v>
      </c>
      <c r="V733" s="23">
        <v>44603</v>
      </c>
      <c r="W733" s="13">
        <v>1400</v>
      </c>
      <c r="X733" s="16"/>
      <c r="Z733" s="27"/>
    </row>
    <row r="734" spans="1:26" ht="75" x14ac:dyDescent="0.25">
      <c r="A734" s="28">
        <v>0</v>
      </c>
      <c r="B734" s="21">
        <v>80204250585</v>
      </c>
      <c r="C734" s="22" t="s">
        <v>48</v>
      </c>
      <c r="D734" s="27" t="s">
        <v>2302</v>
      </c>
      <c r="E734" s="22" t="s">
        <v>108</v>
      </c>
      <c r="F734" s="21"/>
      <c r="G734" s="16"/>
      <c r="H734" s="21"/>
      <c r="I734" s="21"/>
      <c r="J734" s="21" t="s">
        <v>2236</v>
      </c>
      <c r="K734" s="21"/>
      <c r="L734" s="22" t="s">
        <v>2237</v>
      </c>
      <c r="M734" s="21"/>
      <c r="O734" s="21"/>
      <c r="P734" s="21"/>
      <c r="Q734" s="21" t="s">
        <v>2236</v>
      </c>
      <c r="R734" s="21"/>
      <c r="S734" s="21" t="s">
        <v>2237</v>
      </c>
      <c r="T734" s="13">
        <v>517.5</v>
      </c>
      <c r="U734" s="23">
        <v>44593</v>
      </c>
      <c r="V734" s="23">
        <v>44593</v>
      </c>
      <c r="W734" s="13">
        <v>517.5</v>
      </c>
      <c r="X734" s="16"/>
      <c r="Z734" s="27"/>
    </row>
    <row r="735" spans="1:26" ht="60" x14ac:dyDescent="0.25">
      <c r="A735" s="28">
        <v>0</v>
      </c>
      <c r="B735" s="21">
        <v>80204250585</v>
      </c>
      <c r="C735" s="22" t="s">
        <v>48</v>
      </c>
      <c r="D735" s="22" t="s">
        <v>2311</v>
      </c>
      <c r="E735" s="22" t="s">
        <v>108</v>
      </c>
      <c r="F735" s="21"/>
      <c r="G735" s="16"/>
      <c r="H735" s="21"/>
      <c r="I735" s="21"/>
      <c r="J735" s="21" t="s">
        <v>2312</v>
      </c>
      <c r="K735" s="21"/>
      <c r="L735" s="22" t="s">
        <v>2313</v>
      </c>
      <c r="M735" s="21"/>
      <c r="O735" s="21"/>
      <c r="P735" s="21"/>
      <c r="Q735" s="21" t="s">
        <v>2312</v>
      </c>
      <c r="R735" s="21"/>
      <c r="S735" s="21" t="s">
        <v>2313</v>
      </c>
      <c r="T735" s="13">
        <v>531</v>
      </c>
      <c r="U735" s="23">
        <v>44603</v>
      </c>
      <c r="V735" s="23">
        <v>44603</v>
      </c>
      <c r="W735" s="13">
        <v>531</v>
      </c>
      <c r="X735" s="16"/>
      <c r="Z735" s="27"/>
    </row>
    <row r="736" spans="1:26" ht="60" x14ac:dyDescent="0.25">
      <c r="A736" s="28">
        <v>0</v>
      </c>
      <c r="B736" s="21">
        <v>80204250585</v>
      </c>
      <c r="C736" s="22" t="s">
        <v>48</v>
      </c>
      <c r="D736" s="22" t="s">
        <v>2311</v>
      </c>
      <c r="E736" s="22" t="s">
        <v>108</v>
      </c>
      <c r="F736" s="21"/>
      <c r="G736" s="16"/>
      <c r="H736" s="21"/>
      <c r="I736" s="21"/>
      <c r="J736" s="21" t="s">
        <v>2312</v>
      </c>
      <c r="K736" s="21"/>
      <c r="L736" s="22" t="s">
        <v>2313</v>
      </c>
      <c r="M736" s="21"/>
      <c r="O736" s="21"/>
      <c r="P736" s="21"/>
      <c r="Q736" s="21" t="s">
        <v>2312</v>
      </c>
      <c r="R736" s="21"/>
      <c r="S736" s="21" t="s">
        <v>2313</v>
      </c>
      <c r="T736" s="13">
        <v>531</v>
      </c>
      <c r="U736" s="23">
        <v>44603</v>
      </c>
      <c r="V736" s="23">
        <v>44603</v>
      </c>
      <c r="W736" s="13">
        <v>531</v>
      </c>
      <c r="X736" s="16"/>
      <c r="Z736" s="27"/>
    </row>
    <row r="737" spans="1:26" ht="90" x14ac:dyDescent="0.25">
      <c r="A737" s="28">
        <v>0</v>
      </c>
      <c r="B737" s="21">
        <v>80204250585</v>
      </c>
      <c r="C737" s="22" t="s">
        <v>48</v>
      </c>
      <c r="D737" s="22" t="s">
        <v>2314</v>
      </c>
      <c r="E737" s="22" t="s">
        <v>108</v>
      </c>
      <c r="F737" s="21"/>
      <c r="G737" s="16"/>
      <c r="H737" s="21"/>
      <c r="I737" s="21"/>
      <c r="J737" s="21"/>
      <c r="K737" s="21"/>
      <c r="L737" s="22" t="s">
        <v>2315</v>
      </c>
      <c r="M737" s="21"/>
      <c r="O737" s="21"/>
      <c r="P737" s="21"/>
      <c r="R737" s="21"/>
      <c r="S737" s="21" t="s">
        <v>2315</v>
      </c>
      <c r="T737" s="13">
        <v>1350</v>
      </c>
      <c r="U737" s="23">
        <v>44608</v>
      </c>
      <c r="V737" s="23">
        <v>44610</v>
      </c>
      <c r="W737" s="13">
        <v>0</v>
      </c>
      <c r="X737" s="16"/>
      <c r="Z737" s="27"/>
    </row>
    <row r="738" spans="1:26" ht="90" x14ac:dyDescent="0.25">
      <c r="A738" s="28">
        <v>0</v>
      </c>
      <c r="B738" s="21">
        <v>80204250585</v>
      </c>
      <c r="C738" s="22" t="s">
        <v>48</v>
      </c>
      <c r="D738" s="27" t="s">
        <v>2316</v>
      </c>
      <c r="E738" s="22" t="s">
        <v>108</v>
      </c>
      <c r="F738" s="21"/>
      <c r="G738" s="16"/>
      <c r="H738" s="21"/>
      <c r="I738" s="21"/>
      <c r="J738" s="21" t="s">
        <v>2236</v>
      </c>
      <c r="K738" s="21"/>
      <c r="L738" s="22" t="s">
        <v>2237</v>
      </c>
      <c r="M738" s="21"/>
      <c r="O738" s="21"/>
      <c r="P738" s="21"/>
      <c r="Q738" s="21" t="s">
        <v>2236</v>
      </c>
      <c r="R738" s="21"/>
      <c r="S738" s="21" t="s">
        <v>2237</v>
      </c>
      <c r="T738" s="13">
        <v>1500</v>
      </c>
      <c r="U738" s="23">
        <v>44600</v>
      </c>
      <c r="V738" s="23">
        <v>44601</v>
      </c>
      <c r="W738" s="13">
        <v>1500</v>
      </c>
      <c r="X738" s="16"/>
      <c r="Z738" s="27"/>
    </row>
    <row r="739" spans="1:26" ht="75" x14ac:dyDescent="0.25">
      <c r="A739" s="28">
        <v>0</v>
      </c>
      <c r="B739" s="21">
        <v>80204250585</v>
      </c>
      <c r="C739" s="22" t="s">
        <v>48</v>
      </c>
      <c r="D739" s="27" t="s">
        <v>2317</v>
      </c>
      <c r="E739" s="22" t="s">
        <v>108</v>
      </c>
      <c r="F739" s="21"/>
      <c r="G739" s="16"/>
      <c r="H739" s="21"/>
      <c r="I739" s="21"/>
      <c r="J739" s="21" t="s">
        <v>2236</v>
      </c>
      <c r="K739" s="21"/>
      <c r="L739" s="22" t="s">
        <v>2237</v>
      </c>
      <c r="M739" s="21"/>
      <c r="O739" s="21"/>
      <c r="P739" s="21"/>
      <c r="Q739" s="21" t="s">
        <v>2236</v>
      </c>
      <c r="R739" s="21"/>
      <c r="S739" s="21" t="s">
        <v>2237</v>
      </c>
      <c r="T739" s="13">
        <v>900</v>
      </c>
      <c r="U739" s="23">
        <v>44621</v>
      </c>
      <c r="V739" s="23">
        <v>44621</v>
      </c>
      <c r="W739" s="13">
        <v>900</v>
      </c>
      <c r="X739" s="16"/>
      <c r="Z739" s="27"/>
    </row>
    <row r="740" spans="1:26" ht="60" x14ac:dyDescent="0.25">
      <c r="A740" s="28">
        <v>0</v>
      </c>
      <c r="B740" s="21">
        <v>80204250585</v>
      </c>
      <c r="C740" s="22" t="s">
        <v>48</v>
      </c>
      <c r="D740" s="27" t="s">
        <v>2318</v>
      </c>
      <c r="E740" s="22" t="s">
        <v>108</v>
      </c>
      <c r="F740" s="21"/>
      <c r="G740" s="16"/>
      <c r="H740" s="21"/>
      <c r="I740" s="21"/>
      <c r="J740" s="21" t="s">
        <v>1895</v>
      </c>
      <c r="K740" s="21"/>
      <c r="L740" s="22" t="s">
        <v>2118</v>
      </c>
      <c r="M740" s="21"/>
      <c r="O740" s="21"/>
      <c r="P740" s="21"/>
      <c r="Q740" s="21" t="s">
        <v>1895</v>
      </c>
      <c r="R740" s="21"/>
      <c r="S740" s="21" t="s">
        <v>2118</v>
      </c>
      <c r="T740" s="13">
        <v>850</v>
      </c>
      <c r="U740" s="23">
        <v>44613</v>
      </c>
      <c r="V740" s="23">
        <v>44650</v>
      </c>
      <c r="W740" s="13">
        <v>850</v>
      </c>
      <c r="X740" s="16"/>
      <c r="Z740" s="27"/>
    </row>
    <row r="741" spans="1:26" ht="60" x14ac:dyDescent="0.25">
      <c r="A741" s="28">
        <v>0</v>
      </c>
      <c r="B741" s="21">
        <v>80204250585</v>
      </c>
      <c r="C741" s="22" t="s">
        <v>48</v>
      </c>
      <c r="D741" s="22" t="s">
        <v>2311</v>
      </c>
      <c r="E741" s="22" t="s">
        <v>108</v>
      </c>
      <c r="F741" s="21"/>
      <c r="G741" s="16"/>
      <c r="H741" s="21"/>
      <c r="I741" s="21"/>
      <c r="J741" s="21" t="s">
        <v>2312</v>
      </c>
      <c r="K741" s="21"/>
      <c r="L741" s="22" t="s">
        <v>2313</v>
      </c>
      <c r="M741" s="21"/>
      <c r="O741" s="21"/>
      <c r="P741" s="21"/>
      <c r="Q741" s="21" t="s">
        <v>2312</v>
      </c>
      <c r="R741" s="21"/>
      <c r="S741" s="21" t="s">
        <v>2313</v>
      </c>
      <c r="T741" s="13">
        <v>475</v>
      </c>
      <c r="U741" s="23">
        <v>44603</v>
      </c>
      <c r="V741" s="23">
        <v>44603</v>
      </c>
      <c r="W741" s="13">
        <v>475</v>
      </c>
      <c r="X741" s="16"/>
      <c r="Z741" s="27"/>
    </row>
    <row r="742" spans="1:26" ht="60" x14ac:dyDescent="0.25">
      <c r="A742" s="28">
        <v>0</v>
      </c>
      <c r="B742" s="21">
        <v>80204250585</v>
      </c>
      <c r="C742" s="22" t="s">
        <v>48</v>
      </c>
      <c r="D742" s="22" t="s">
        <v>2311</v>
      </c>
      <c r="E742" s="22" t="s">
        <v>108</v>
      </c>
      <c r="F742" s="21"/>
      <c r="G742" s="16"/>
      <c r="H742" s="21"/>
      <c r="I742" s="21"/>
      <c r="J742" s="21" t="s">
        <v>2312</v>
      </c>
      <c r="K742" s="21"/>
      <c r="L742" s="22" t="s">
        <v>2313</v>
      </c>
      <c r="M742" s="21"/>
      <c r="O742" s="21"/>
      <c r="P742" s="21"/>
      <c r="Q742" s="21" t="s">
        <v>2312</v>
      </c>
      <c r="R742" s="21"/>
      <c r="S742" s="21" t="s">
        <v>2313</v>
      </c>
      <c r="T742" s="13">
        <v>475</v>
      </c>
      <c r="U742" s="23">
        <v>44603</v>
      </c>
      <c r="V742" s="23">
        <v>44603</v>
      </c>
      <c r="W742" s="13">
        <v>475</v>
      </c>
      <c r="X742" s="16"/>
      <c r="Z742" s="27"/>
    </row>
    <row r="743" spans="1:26" ht="90" x14ac:dyDescent="0.25">
      <c r="A743" s="28">
        <v>0</v>
      </c>
      <c r="B743" s="21">
        <v>80204250585</v>
      </c>
      <c r="C743" s="22" t="s">
        <v>48</v>
      </c>
      <c r="D743" s="22" t="s">
        <v>2319</v>
      </c>
      <c r="E743" s="22" t="s">
        <v>108</v>
      </c>
      <c r="F743" s="21"/>
      <c r="G743" s="16"/>
      <c r="H743" s="21"/>
      <c r="I743" s="21"/>
      <c r="J743" s="21" t="s">
        <v>2312</v>
      </c>
      <c r="K743" s="21"/>
      <c r="L743" s="22" t="s">
        <v>2313</v>
      </c>
      <c r="M743" s="21"/>
      <c r="O743" s="21"/>
      <c r="P743" s="21"/>
      <c r="Q743" s="21" t="s">
        <v>2312</v>
      </c>
      <c r="R743" s="21"/>
      <c r="S743" s="21" t="s">
        <v>2313</v>
      </c>
      <c r="T743" s="13">
        <v>711</v>
      </c>
      <c r="U743" s="23">
        <v>44609</v>
      </c>
      <c r="V743" s="23">
        <v>44609</v>
      </c>
      <c r="W743" s="13">
        <v>711</v>
      </c>
      <c r="X743" s="16"/>
      <c r="Z743" s="27"/>
    </row>
    <row r="744" spans="1:26" ht="90" x14ac:dyDescent="0.25">
      <c r="A744" s="28">
        <v>0</v>
      </c>
      <c r="B744" s="21">
        <v>80204250585</v>
      </c>
      <c r="C744" s="22" t="s">
        <v>48</v>
      </c>
      <c r="D744" s="22" t="s">
        <v>2319</v>
      </c>
      <c r="E744" s="22" t="s">
        <v>108</v>
      </c>
      <c r="F744" s="21"/>
      <c r="G744" s="16"/>
      <c r="H744" s="21"/>
      <c r="I744" s="21"/>
      <c r="J744" s="21" t="s">
        <v>2312</v>
      </c>
      <c r="K744" s="21"/>
      <c r="L744" s="22" t="s">
        <v>2313</v>
      </c>
      <c r="M744" s="21"/>
      <c r="O744" s="21"/>
      <c r="P744" s="21"/>
      <c r="Q744" s="21" t="s">
        <v>2312</v>
      </c>
      <c r="R744" s="21"/>
      <c r="S744" s="21" t="s">
        <v>2313</v>
      </c>
      <c r="T744" s="13">
        <v>711</v>
      </c>
      <c r="U744" s="23">
        <v>44609</v>
      </c>
      <c r="V744" s="23">
        <v>44609</v>
      </c>
      <c r="W744" s="13">
        <v>711</v>
      </c>
      <c r="X744" s="16"/>
      <c r="Z744" s="27"/>
    </row>
    <row r="745" spans="1:26" ht="60" x14ac:dyDescent="0.25">
      <c r="A745" s="28">
        <v>0</v>
      </c>
      <c r="B745" s="21">
        <v>80204250585</v>
      </c>
      <c r="C745" s="22" t="s">
        <v>48</v>
      </c>
      <c r="D745" s="22" t="s">
        <v>2320</v>
      </c>
      <c r="E745" s="22" t="s">
        <v>108</v>
      </c>
      <c r="F745" s="21"/>
      <c r="G745" s="16"/>
      <c r="H745" s="21"/>
      <c r="I745" s="21"/>
      <c r="J745" s="21"/>
      <c r="K745" s="21"/>
      <c r="L745" s="22" t="s">
        <v>2321</v>
      </c>
      <c r="M745" s="21"/>
      <c r="O745" s="21"/>
      <c r="P745" s="21"/>
      <c r="R745" s="21"/>
      <c r="S745" s="21" t="s">
        <v>2321</v>
      </c>
      <c r="T745" s="13">
        <v>2440</v>
      </c>
      <c r="U745" s="23">
        <v>44634</v>
      </c>
      <c r="V745" s="23">
        <v>44642</v>
      </c>
      <c r="W745" s="13">
        <v>2390</v>
      </c>
      <c r="X745" s="16"/>
      <c r="Z745" s="27"/>
    </row>
    <row r="746" spans="1:26" ht="45" x14ac:dyDescent="0.25">
      <c r="A746" s="28">
        <v>0</v>
      </c>
      <c r="B746" s="21">
        <v>80204250585</v>
      </c>
      <c r="C746" s="22" t="s">
        <v>48</v>
      </c>
      <c r="D746" s="27" t="s">
        <v>2322</v>
      </c>
      <c r="E746" s="22" t="s">
        <v>108</v>
      </c>
      <c r="F746" s="21"/>
      <c r="G746" s="16"/>
      <c r="H746" s="21"/>
      <c r="I746" s="21"/>
      <c r="J746" s="21" t="s">
        <v>2236</v>
      </c>
      <c r="K746" s="21"/>
      <c r="L746" s="22" t="s">
        <v>2237</v>
      </c>
      <c r="M746" s="21"/>
      <c r="O746" s="21"/>
      <c r="P746" s="21"/>
      <c r="Q746" s="21" t="s">
        <v>2236</v>
      </c>
      <c r="R746" s="21"/>
      <c r="S746" s="21" t="s">
        <v>2237</v>
      </c>
      <c r="T746" s="13">
        <v>1500</v>
      </c>
      <c r="U746" s="23">
        <v>44643</v>
      </c>
      <c r="V746" s="23">
        <v>44645</v>
      </c>
      <c r="W746" s="13">
        <v>1500</v>
      </c>
      <c r="X746" s="16"/>
      <c r="Z746" s="27"/>
    </row>
    <row r="747" spans="1:26" ht="90" x14ac:dyDescent="0.25">
      <c r="A747" s="28">
        <v>0</v>
      </c>
      <c r="B747" s="21">
        <v>80204250585</v>
      </c>
      <c r="C747" s="22" t="s">
        <v>48</v>
      </c>
      <c r="D747" s="22" t="s">
        <v>2323</v>
      </c>
      <c r="E747" s="22" t="s">
        <v>108</v>
      </c>
      <c r="F747" s="21"/>
      <c r="G747" s="16"/>
      <c r="H747" s="21"/>
      <c r="I747" s="21"/>
      <c r="J747" s="21" t="s">
        <v>2324</v>
      </c>
      <c r="K747" s="21"/>
      <c r="L747" s="22" t="s">
        <v>2325</v>
      </c>
      <c r="M747" s="21"/>
      <c r="N747" s="21"/>
      <c r="O747" s="21"/>
      <c r="P747" s="21"/>
      <c r="Q747" s="21" t="s">
        <v>2324</v>
      </c>
      <c r="R747" s="21"/>
      <c r="S747" s="21" t="s">
        <v>2325</v>
      </c>
      <c r="T747" s="13">
        <v>2700</v>
      </c>
      <c r="U747" s="23">
        <v>44629</v>
      </c>
      <c r="V747" s="23">
        <v>44629</v>
      </c>
      <c r="W747" s="13">
        <v>2700</v>
      </c>
      <c r="X747" s="16"/>
      <c r="Z747" s="27"/>
    </row>
    <row r="748" spans="1:26" ht="90" x14ac:dyDescent="0.25">
      <c r="A748" s="28">
        <v>0</v>
      </c>
      <c r="B748" s="21">
        <v>80204250585</v>
      </c>
      <c r="C748" s="22" t="s">
        <v>48</v>
      </c>
      <c r="D748" s="27" t="s">
        <v>2326</v>
      </c>
      <c r="E748" s="22" t="s">
        <v>108</v>
      </c>
      <c r="F748" s="21"/>
      <c r="G748" s="16"/>
      <c r="H748" s="21"/>
      <c r="I748" s="21"/>
      <c r="J748" s="21" t="s">
        <v>2236</v>
      </c>
      <c r="K748" s="21"/>
      <c r="L748" s="22" t="s">
        <v>2237</v>
      </c>
      <c r="M748" s="21"/>
      <c r="O748" s="21"/>
      <c r="P748" s="21"/>
      <c r="Q748" s="21" t="s">
        <v>2236</v>
      </c>
      <c r="R748" s="21"/>
      <c r="S748" s="21" t="s">
        <v>2237</v>
      </c>
      <c r="T748" s="13">
        <v>600</v>
      </c>
      <c r="U748" s="23">
        <v>44635</v>
      </c>
      <c r="V748" s="23">
        <v>44635</v>
      </c>
      <c r="W748" s="13">
        <v>600</v>
      </c>
      <c r="X748" s="16"/>
      <c r="Z748" s="27"/>
    </row>
    <row r="749" spans="1:26" ht="90" x14ac:dyDescent="0.25">
      <c r="A749" s="28">
        <v>0</v>
      </c>
      <c r="B749" s="21">
        <v>80204250585</v>
      </c>
      <c r="C749" s="22" t="s">
        <v>48</v>
      </c>
      <c r="D749" s="27" t="s">
        <v>2326</v>
      </c>
      <c r="E749" s="22" t="s">
        <v>108</v>
      </c>
      <c r="F749" s="21"/>
      <c r="G749" s="16"/>
      <c r="H749" s="21"/>
      <c r="I749" s="21"/>
      <c r="J749" s="21" t="s">
        <v>2236</v>
      </c>
      <c r="K749" s="21"/>
      <c r="L749" s="22" t="s">
        <v>2237</v>
      </c>
      <c r="M749" s="21"/>
      <c r="O749" s="21"/>
      <c r="P749" s="21"/>
      <c r="Q749" s="21" t="s">
        <v>2236</v>
      </c>
      <c r="R749" s="21"/>
      <c r="S749" s="21" t="s">
        <v>2237</v>
      </c>
      <c r="T749" s="13">
        <v>600</v>
      </c>
      <c r="U749" s="23">
        <v>44635</v>
      </c>
      <c r="V749" s="23">
        <v>44635</v>
      </c>
      <c r="W749" s="13">
        <v>600</v>
      </c>
      <c r="X749" s="16"/>
      <c r="Z749" s="27"/>
    </row>
    <row r="750" spans="1:26" ht="90" x14ac:dyDescent="0.25">
      <c r="A750" s="28">
        <v>0</v>
      </c>
      <c r="B750" s="21">
        <v>80204250585</v>
      </c>
      <c r="C750" s="22" t="s">
        <v>48</v>
      </c>
      <c r="D750" s="27" t="s">
        <v>2326</v>
      </c>
      <c r="E750" s="22" t="s">
        <v>108</v>
      </c>
      <c r="F750" s="21"/>
      <c r="G750" s="16"/>
      <c r="H750" s="21"/>
      <c r="I750" s="21"/>
      <c r="J750" s="21" t="s">
        <v>2236</v>
      </c>
      <c r="K750" s="21"/>
      <c r="L750" s="22" t="s">
        <v>2237</v>
      </c>
      <c r="M750" s="21"/>
      <c r="O750" s="21"/>
      <c r="P750" s="21"/>
      <c r="Q750" s="21" t="s">
        <v>2236</v>
      </c>
      <c r="R750" s="21"/>
      <c r="S750" s="21" t="s">
        <v>2237</v>
      </c>
      <c r="T750" s="13">
        <v>600</v>
      </c>
      <c r="U750" s="23">
        <v>44635</v>
      </c>
      <c r="V750" s="23">
        <v>44635</v>
      </c>
      <c r="W750" s="13">
        <v>600</v>
      </c>
      <c r="X750" s="16"/>
      <c r="Z750" s="27"/>
    </row>
    <row r="751" spans="1:26" ht="60" x14ac:dyDescent="0.25">
      <c r="A751" s="28">
        <v>0</v>
      </c>
      <c r="B751" s="21">
        <v>80204250585</v>
      </c>
      <c r="C751" s="22" t="s">
        <v>48</v>
      </c>
      <c r="D751" s="22" t="s">
        <v>2327</v>
      </c>
      <c r="E751" s="22" t="s">
        <v>108</v>
      </c>
      <c r="F751" s="21"/>
      <c r="G751" s="16"/>
      <c r="H751" s="21"/>
      <c r="I751" s="21"/>
      <c r="J751" s="21" t="s">
        <v>1486</v>
      </c>
      <c r="K751" s="21"/>
      <c r="L751" s="22" t="s">
        <v>2328</v>
      </c>
      <c r="M751" s="21"/>
      <c r="O751" s="21"/>
      <c r="P751" s="21"/>
      <c r="Q751" s="21" t="s">
        <v>1486</v>
      </c>
      <c r="R751" s="21"/>
      <c r="S751" s="21" t="s">
        <v>2328</v>
      </c>
      <c r="T751" s="13">
        <v>715</v>
      </c>
      <c r="U751" s="23">
        <v>44677</v>
      </c>
      <c r="V751" s="23">
        <v>44678</v>
      </c>
      <c r="W751" s="13">
        <v>715</v>
      </c>
      <c r="X751" s="16"/>
      <c r="Z751" s="27"/>
    </row>
    <row r="752" spans="1:26" ht="90" x14ac:dyDescent="0.25">
      <c r="A752" s="28">
        <v>0</v>
      </c>
      <c r="B752" s="21">
        <v>80204250585</v>
      </c>
      <c r="C752" s="22" t="s">
        <v>48</v>
      </c>
      <c r="D752" s="27" t="s">
        <v>2326</v>
      </c>
      <c r="E752" s="22" t="s">
        <v>108</v>
      </c>
      <c r="F752" s="21"/>
      <c r="G752" s="16"/>
      <c r="H752" s="21"/>
      <c r="I752" s="21"/>
      <c r="J752" s="21" t="s">
        <v>2236</v>
      </c>
      <c r="K752" s="21"/>
      <c r="L752" s="22" t="s">
        <v>2237</v>
      </c>
      <c r="M752" s="21"/>
      <c r="O752" s="21"/>
      <c r="P752" s="21"/>
      <c r="Q752" s="21" t="s">
        <v>2236</v>
      </c>
      <c r="R752" s="21"/>
      <c r="S752" s="21" t="s">
        <v>2237</v>
      </c>
      <c r="T752" s="13">
        <v>475</v>
      </c>
      <c r="U752" s="23">
        <v>44635</v>
      </c>
      <c r="V752" s="23">
        <v>44635</v>
      </c>
      <c r="W752" s="13">
        <v>475</v>
      </c>
      <c r="X752" s="16"/>
      <c r="Z752" s="27"/>
    </row>
    <row r="753" spans="1:26" ht="90" x14ac:dyDescent="0.25">
      <c r="A753" s="28">
        <v>0</v>
      </c>
      <c r="B753" s="21">
        <v>80204250585</v>
      </c>
      <c r="C753" s="22" t="s">
        <v>48</v>
      </c>
      <c r="D753" s="27" t="s">
        <v>2326</v>
      </c>
      <c r="E753" s="22" t="s">
        <v>108</v>
      </c>
      <c r="F753" s="21"/>
      <c r="G753" s="16"/>
      <c r="H753" s="21"/>
      <c r="I753" s="21"/>
      <c r="J753" s="21" t="s">
        <v>2236</v>
      </c>
      <c r="K753" s="21"/>
      <c r="L753" s="22" t="s">
        <v>2237</v>
      </c>
      <c r="M753" s="21"/>
      <c r="O753" s="21"/>
      <c r="P753" s="21"/>
      <c r="Q753" s="21" t="s">
        <v>2236</v>
      </c>
      <c r="R753" s="21"/>
      <c r="S753" s="21" t="s">
        <v>2237</v>
      </c>
      <c r="T753" s="13">
        <v>475</v>
      </c>
      <c r="U753" s="23">
        <v>44635</v>
      </c>
      <c r="V753" s="23">
        <v>44635</v>
      </c>
      <c r="W753" s="13">
        <v>475</v>
      </c>
      <c r="X753" s="16"/>
      <c r="Z753" s="27"/>
    </row>
    <row r="754" spans="1:26" ht="90" x14ac:dyDescent="0.25">
      <c r="A754" s="28">
        <v>0</v>
      </c>
      <c r="B754" s="21">
        <v>80204250585</v>
      </c>
      <c r="C754" s="22" t="s">
        <v>48</v>
      </c>
      <c r="D754" s="27" t="s">
        <v>2326</v>
      </c>
      <c r="E754" s="22" t="s">
        <v>108</v>
      </c>
      <c r="F754" s="21"/>
      <c r="G754" s="16"/>
      <c r="H754" s="21"/>
      <c r="I754" s="21"/>
      <c r="J754" s="21" t="s">
        <v>2236</v>
      </c>
      <c r="K754" s="21"/>
      <c r="L754" s="22" t="s">
        <v>2237</v>
      </c>
      <c r="M754" s="21"/>
      <c r="O754" s="21"/>
      <c r="P754" s="21"/>
      <c r="Q754" s="21" t="s">
        <v>2236</v>
      </c>
      <c r="R754" s="21"/>
      <c r="S754" s="21" t="s">
        <v>2237</v>
      </c>
      <c r="T754" s="13">
        <v>475</v>
      </c>
      <c r="U754" s="23">
        <v>44635</v>
      </c>
      <c r="V754" s="23">
        <v>44635</v>
      </c>
      <c r="W754" s="13">
        <v>475</v>
      </c>
      <c r="X754" s="16"/>
      <c r="Z754" s="27"/>
    </row>
    <row r="755" spans="1:26" ht="90" x14ac:dyDescent="0.25">
      <c r="A755" s="28">
        <v>0</v>
      </c>
      <c r="B755" s="21">
        <v>80204250585</v>
      </c>
      <c r="C755" s="22" t="s">
        <v>48</v>
      </c>
      <c r="D755" s="27" t="s">
        <v>2326</v>
      </c>
      <c r="E755" s="22" t="s">
        <v>108</v>
      </c>
      <c r="F755" s="21"/>
      <c r="G755" s="16"/>
      <c r="H755" s="21"/>
      <c r="I755" s="21"/>
      <c r="J755" s="21" t="s">
        <v>2236</v>
      </c>
      <c r="K755" s="21"/>
      <c r="L755" s="22" t="s">
        <v>2237</v>
      </c>
      <c r="M755" s="21"/>
      <c r="O755" s="21"/>
      <c r="P755" s="21"/>
      <c r="Q755" s="21" t="s">
        <v>2236</v>
      </c>
      <c r="R755" s="21"/>
      <c r="S755" s="21" t="s">
        <v>2237</v>
      </c>
      <c r="T755" s="13">
        <v>475</v>
      </c>
      <c r="U755" s="23">
        <v>44635</v>
      </c>
      <c r="V755" s="23">
        <v>44635</v>
      </c>
      <c r="W755" s="13">
        <v>475</v>
      </c>
      <c r="X755" s="16"/>
      <c r="Z755" s="27"/>
    </row>
    <row r="756" spans="1:26" ht="90" x14ac:dyDescent="0.25">
      <c r="A756" s="28">
        <v>0</v>
      </c>
      <c r="B756" s="21">
        <v>80204250585</v>
      </c>
      <c r="C756" s="22" t="s">
        <v>48</v>
      </c>
      <c r="D756" s="27" t="s">
        <v>2326</v>
      </c>
      <c r="E756" s="22" t="s">
        <v>108</v>
      </c>
      <c r="F756" s="21"/>
      <c r="G756" s="16"/>
      <c r="H756" s="21"/>
      <c r="I756" s="21"/>
      <c r="J756" s="21" t="s">
        <v>2236</v>
      </c>
      <c r="K756" s="21"/>
      <c r="L756" s="22" t="s">
        <v>2237</v>
      </c>
      <c r="M756" s="21"/>
      <c r="O756" s="21"/>
      <c r="P756" s="21"/>
      <c r="Q756" s="21" t="s">
        <v>2236</v>
      </c>
      <c r="R756" s="21"/>
      <c r="S756" s="21" t="s">
        <v>2237</v>
      </c>
      <c r="T756" s="13">
        <v>475</v>
      </c>
      <c r="U756" s="23">
        <v>44635</v>
      </c>
      <c r="V756" s="23">
        <v>44635</v>
      </c>
      <c r="W756" s="13">
        <v>475</v>
      </c>
      <c r="X756" s="16"/>
      <c r="Z756" s="27"/>
    </row>
    <row r="757" spans="1:26" ht="90" x14ac:dyDescent="0.25">
      <c r="A757" s="28">
        <v>0</v>
      </c>
      <c r="B757" s="21">
        <v>80204250585</v>
      </c>
      <c r="C757" s="22" t="s">
        <v>48</v>
      </c>
      <c r="D757" s="27" t="s">
        <v>2326</v>
      </c>
      <c r="E757" s="22" t="s">
        <v>108</v>
      </c>
      <c r="F757" s="21"/>
      <c r="G757" s="16"/>
      <c r="H757" s="21"/>
      <c r="I757" s="21"/>
      <c r="J757" s="21" t="s">
        <v>2236</v>
      </c>
      <c r="K757" s="21"/>
      <c r="L757" s="22" t="s">
        <v>2237</v>
      </c>
      <c r="M757" s="21"/>
      <c r="O757" s="21"/>
      <c r="P757" s="21"/>
      <c r="Q757" s="21" t="s">
        <v>2236</v>
      </c>
      <c r="R757" s="21"/>
      <c r="S757" s="21" t="s">
        <v>2237</v>
      </c>
      <c r="T757" s="13">
        <v>475</v>
      </c>
      <c r="U757" s="23">
        <v>44635</v>
      </c>
      <c r="V757" s="23">
        <v>44635</v>
      </c>
      <c r="W757" s="13">
        <v>475</v>
      </c>
      <c r="X757" s="16"/>
      <c r="Z757" s="27"/>
    </row>
    <row r="758" spans="1:26" ht="60" x14ac:dyDescent="0.25">
      <c r="A758" s="28">
        <v>0</v>
      </c>
      <c r="B758" s="21">
        <v>80204250585</v>
      </c>
      <c r="C758" s="22" t="s">
        <v>48</v>
      </c>
      <c r="D758" s="22" t="s">
        <v>2327</v>
      </c>
      <c r="E758" s="22" t="s">
        <v>108</v>
      </c>
      <c r="F758" s="21"/>
      <c r="G758" s="16"/>
      <c r="H758" s="21"/>
      <c r="I758" s="21"/>
      <c r="J758" s="21" t="s">
        <v>1486</v>
      </c>
      <c r="K758" s="21"/>
      <c r="L758" s="22" t="s">
        <v>2328</v>
      </c>
      <c r="M758" s="21"/>
      <c r="O758" s="21"/>
      <c r="P758" s="21"/>
      <c r="Q758" s="21" t="s">
        <v>1486</v>
      </c>
      <c r="R758" s="21"/>
      <c r="S758" s="21" t="s">
        <v>2328</v>
      </c>
      <c r="T758" s="13">
        <v>715</v>
      </c>
      <c r="U758" s="23">
        <v>44677</v>
      </c>
      <c r="V758" s="23">
        <v>44678</v>
      </c>
      <c r="W758" s="13">
        <v>643.5</v>
      </c>
      <c r="X758" s="16"/>
      <c r="Z758" s="27"/>
    </row>
    <row r="759" spans="1:26" ht="60" x14ac:dyDescent="0.25">
      <c r="A759" s="28">
        <v>0</v>
      </c>
      <c r="B759" s="21">
        <v>80204250585</v>
      </c>
      <c r="C759" s="22" t="s">
        <v>48</v>
      </c>
      <c r="D759" s="22" t="s">
        <v>2327</v>
      </c>
      <c r="E759" s="22" t="s">
        <v>108</v>
      </c>
      <c r="F759" s="21"/>
      <c r="G759" s="16"/>
      <c r="H759" s="21"/>
      <c r="I759" s="21"/>
      <c r="J759" s="21" t="s">
        <v>1486</v>
      </c>
      <c r="K759" s="21"/>
      <c r="L759" s="22" t="s">
        <v>2328</v>
      </c>
      <c r="M759" s="21"/>
      <c r="O759" s="21"/>
      <c r="P759" s="21"/>
      <c r="Q759" s="21" t="s">
        <v>1486</v>
      </c>
      <c r="R759" s="21"/>
      <c r="S759" s="21" t="s">
        <v>2328</v>
      </c>
      <c r="T759" s="13">
        <v>715</v>
      </c>
      <c r="U759" s="23">
        <v>44677</v>
      </c>
      <c r="V759" s="23">
        <v>44678</v>
      </c>
      <c r="W759" s="13">
        <v>608</v>
      </c>
      <c r="X759" s="16"/>
      <c r="Z759" s="27"/>
    </row>
    <row r="760" spans="1:26" ht="45" x14ac:dyDescent="0.25">
      <c r="A760" s="28">
        <v>0</v>
      </c>
      <c r="B760" s="21">
        <v>80204250585</v>
      </c>
      <c r="C760" s="22" t="s">
        <v>48</v>
      </c>
      <c r="D760" s="22" t="s">
        <v>2329</v>
      </c>
      <c r="E760" s="22" t="s">
        <v>108</v>
      </c>
      <c r="F760" s="21"/>
      <c r="G760" s="16"/>
      <c r="H760" s="21"/>
      <c r="I760" s="21"/>
      <c r="J760" s="21" t="s">
        <v>1329</v>
      </c>
      <c r="K760" s="21"/>
      <c r="L760" s="22" t="s">
        <v>2330</v>
      </c>
      <c r="M760" s="21"/>
      <c r="O760" s="21"/>
      <c r="P760" s="21"/>
      <c r="Q760" s="21" t="s">
        <v>1329</v>
      </c>
      <c r="R760" s="21"/>
      <c r="S760" s="21" t="s">
        <v>2330</v>
      </c>
      <c r="T760" s="13">
        <v>180</v>
      </c>
      <c r="U760" s="23">
        <v>44648</v>
      </c>
      <c r="V760" s="23">
        <v>44655</v>
      </c>
      <c r="W760" s="13">
        <v>180</v>
      </c>
      <c r="X760" s="16"/>
      <c r="Z760" s="27"/>
    </row>
    <row r="761" spans="1:26" ht="60" x14ac:dyDescent="0.25">
      <c r="A761" s="28">
        <v>0</v>
      </c>
      <c r="B761" s="21">
        <v>80204250585</v>
      </c>
      <c r="C761" s="22" t="s">
        <v>48</v>
      </c>
      <c r="D761" s="27" t="s">
        <v>2331</v>
      </c>
      <c r="E761" s="22" t="s">
        <v>108</v>
      </c>
      <c r="F761" s="21"/>
      <c r="G761" s="16"/>
      <c r="H761" s="21"/>
      <c r="I761" s="21"/>
      <c r="J761" s="21" t="s">
        <v>1895</v>
      </c>
      <c r="K761" s="21"/>
      <c r="L761" s="22" t="s">
        <v>2118</v>
      </c>
      <c r="M761" s="21"/>
      <c r="O761" s="21"/>
      <c r="P761" s="21"/>
      <c r="Q761" s="21" t="s">
        <v>1895</v>
      </c>
      <c r="R761" s="21"/>
      <c r="S761" s="21" t="s">
        <v>2118</v>
      </c>
      <c r="T761" s="13">
        <v>162</v>
      </c>
      <c r="U761" s="23">
        <v>44644</v>
      </c>
      <c r="V761" s="23">
        <v>44645</v>
      </c>
      <c r="W761" s="13">
        <v>162</v>
      </c>
      <c r="X761" s="16"/>
      <c r="Z761" s="27"/>
    </row>
    <row r="762" spans="1:26" ht="60" x14ac:dyDescent="0.25">
      <c r="A762" s="28" t="s">
        <v>2332</v>
      </c>
      <c r="B762" s="21">
        <v>80204250585</v>
      </c>
      <c r="C762" s="22" t="s">
        <v>48</v>
      </c>
      <c r="D762" s="22" t="s">
        <v>2333</v>
      </c>
      <c r="E762" s="22" t="s">
        <v>108</v>
      </c>
      <c r="F762" s="21"/>
      <c r="G762" s="16"/>
      <c r="H762" s="21"/>
      <c r="I762" s="21"/>
      <c r="J762" s="21" t="s">
        <v>2334</v>
      </c>
      <c r="K762" s="21"/>
      <c r="L762" s="22" t="s">
        <v>2335</v>
      </c>
      <c r="M762" s="21"/>
      <c r="N762" s="21"/>
      <c r="O762" s="21"/>
      <c r="P762" s="21"/>
      <c r="Q762" s="21" t="s">
        <v>2334</v>
      </c>
      <c r="R762" s="21"/>
      <c r="S762" s="21" t="s">
        <v>2335</v>
      </c>
      <c r="T762" s="13">
        <v>1600</v>
      </c>
      <c r="U762" s="23">
        <v>44562</v>
      </c>
      <c r="V762" s="23">
        <v>44742</v>
      </c>
      <c r="W762" s="13">
        <v>1600</v>
      </c>
      <c r="X762" s="16"/>
      <c r="Z762" s="27"/>
    </row>
    <row r="763" spans="1:26" ht="75" x14ac:dyDescent="0.25">
      <c r="A763" s="28" t="s">
        <v>2336</v>
      </c>
      <c r="B763" s="21">
        <v>80204250585</v>
      </c>
      <c r="C763" s="22" t="s">
        <v>48</v>
      </c>
      <c r="D763" s="22" t="s">
        <v>2337</v>
      </c>
      <c r="E763" s="22" t="s">
        <v>108</v>
      </c>
      <c r="F763" s="21"/>
      <c r="G763" s="16"/>
      <c r="H763" s="21"/>
      <c r="I763" s="21"/>
      <c r="J763" s="21" t="s">
        <v>2338</v>
      </c>
      <c r="K763" s="21"/>
      <c r="L763" s="22" t="s">
        <v>2339</v>
      </c>
      <c r="M763" s="21"/>
      <c r="N763" s="21"/>
      <c r="O763" s="21"/>
      <c r="P763" s="21"/>
      <c r="Q763" s="21" t="s">
        <v>2338</v>
      </c>
      <c r="R763" s="21"/>
      <c r="S763" s="21" t="s">
        <v>2339</v>
      </c>
      <c r="T763" s="13">
        <v>2600</v>
      </c>
      <c r="U763" s="23">
        <v>44562</v>
      </c>
      <c r="V763" s="23">
        <v>44742</v>
      </c>
      <c r="W763" s="13">
        <v>2600</v>
      </c>
      <c r="X763" s="16"/>
      <c r="Z763" s="27"/>
    </row>
    <row r="764" spans="1:26" ht="75" x14ac:dyDescent="0.25">
      <c r="A764" s="28">
        <v>0</v>
      </c>
      <c r="B764" s="21">
        <v>80204250585</v>
      </c>
      <c r="C764" s="22" t="s">
        <v>48</v>
      </c>
      <c r="D764" s="27" t="s">
        <v>2340</v>
      </c>
      <c r="E764" s="22" t="s">
        <v>108</v>
      </c>
      <c r="F764" s="21"/>
      <c r="G764" s="16"/>
      <c r="H764" s="21"/>
      <c r="I764" s="21"/>
      <c r="J764" s="21" t="s">
        <v>2236</v>
      </c>
      <c r="K764" s="21"/>
      <c r="L764" s="22" t="s">
        <v>2237</v>
      </c>
      <c r="M764" s="21"/>
      <c r="O764" s="21"/>
      <c r="P764" s="21"/>
      <c r="Q764" s="21" t="s">
        <v>2236</v>
      </c>
      <c r="R764" s="21"/>
      <c r="S764" s="21" t="s">
        <v>2237</v>
      </c>
      <c r="T764" s="13">
        <v>4000</v>
      </c>
      <c r="U764" s="23">
        <v>44630</v>
      </c>
      <c r="V764" s="23">
        <v>44631</v>
      </c>
      <c r="W764" s="13">
        <v>4000</v>
      </c>
      <c r="X764" s="16"/>
      <c r="Z764" s="27"/>
    </row>
    <row r="765" spans="1:26" ht="75" x14ac:dyDescent="0.25">
      <c r="A765" s="28">
        <v>0</v>
      </c>
      <c r="B765" s="21">
        <v>80204250585</v>
      </c>
      <c r="C765" s="22" t="s">
        <v>48</v>
      </c>
      <c r="D765" s="22" t="s">
        <v>2341</v>
      </c>
      <c r="E765" s="22" t="s">
        <v>108</v>
      </c>
      <c r="F765" s="21"/>
      <c r="G765" s="16"/>
      <c r="H765" s="21"/>
      <c r="I765" s="21"/>
      <c r="J765" s="21" t="s">
        <v>2342</v>
      </c>
      <c r="K765" s="21"/>
      <c r="L765" s="22" t="s">
        <v>2343</v>
      </c>
      <c r="M765" s="21"/>
      <c r="O765" s="21"/>
      <c r="P765" s="21"/>
      <c r="Q765" s="21" t="s">
        <v>2342</v>
      </c>
      <c r="R765" s="21"/>
      <c r="S765" s="21" t="s">
        <v>2343</v>
      </c>
      <c r="T765" s="13">
        <v>4400</v>
      </c>
      <c r="U765" s="23">
        <v>44645</v>
      </c>
      <c r="V765" s="23">
        <v>44645</v>
      </c>
      <c r="W765" s="13">
        <v>4400</v>
      </c>
      <c r="X765" s="16"/>
      <c r="Z765" s="27"/>
    </row>
    <row r="766" spans="1:26" ht="45" x14ac:dyDescent="0.25">
      <c r="A766" s="28">
        <v>0</v>
      </c>
      <c r="B766" s="21">
        <v>80204250585</v>
      </c>
      <c r="C766" s="22" t="s">
        <v>48</v>
      </c>
      <c r="D766" s="22" t="s">
        <v>2344</v>
      </c>
      <c r="E766" s="22" t="s">
        <v>108</v>
      </c>
      <c r="F766" s="21"/>
      <c r="G766" s="16"/>
      <c r="H766" s="21"/>
      <c r="I766" s="21"/>
      <c r="J766" s="21" t="s">
        <v>2345</v>
      </c>
      <c r="K766" s="21"/>
      <c r="L766" s="22" t="s">
        <v>2346</v>
      </c>
      <c r="M766" s="21"/>
      <c r="N766" s="21"/>
      <c r="O766" s="21"/>
      <c r="P766" s="21"/>
      <c r="Q766" s="21" t="s">
        <v>2345</v>
      </c>
      <c r="R766" s="21"/>
      <c r="S766" s="21" t="s">
        <v>2346</v>
      </c>
      <c r="T766" s="13">
        <v>600</v>
      </c>
      <c r="U766" s="23">
        <v>44562</v>
      </c>
      <c r="V766" s="23">
        <v>44742</v>
      </c>
      <c r="W766" s="13">
        <v>0</v>
      </c>
      <c r="X766" s="16"/>
      <c r="Z766" s="27"/>
    </row>
    <row r="767" spans="1:26" ht="90" x14ac:dyDescent="0.25">
      <c r="A767" s="28">
        <v>0</v>
      </c>
      <c r="B767" s="21">
        <v>80204250585</v>
      </c>
      <c r="C767" s="22" t="s">
        <v>48</v>
      </c>
      <c r="D767" s="27" t="s">
        <v>2347</v>
      </c>
      <c r="E767" s="22" t="s">
        <v>108</v>
      </c>
      <c r="F767" s="21"/>
      <c r="G767" s="16"/>
      <c r="H767" s="21"/>
      <c r="I767" s="21"/>
      <c r="J767" s="21" t="s">
        <v>2348</v>
      </c>
      <c r="K767" s="21"/>
      <c r="L767" s="22" t="s">
        <v>2349</v>
      </c>
      <c r="M767" s="21"/>
      <c r="O767" s="21"/>
      <c r="P767" s="21"/>
      <c r="Q767" s="21" t="s">
        <v>2348</v>
      </c>
      <c r="R767" s="21"/>
      <c r="S767" s="21" t="s">
        <v>2349</v>
      </c>
      <c r="T767" s="13">
        <v>150</v>
      </c>
      <c r="U767" s="23">
        <v>44648</v>
      </c>
      <c r="V767" s="23">
        <v>44648</v>
      </c>
      <c r="W767" s="13">
        <v>0</v>
      </c>
      <c r="X767" s="16"/>
      <c r="Z767" s="27"/>
    </row>
    <row r="768" spans="1:26" ht="90" x14ac:dyDescent="0.25">
      <c r="A768" s="28">
        <v>0</v>
      </c>
      <c r="B768" s="21">
        <v>80204250585</v>
      </c>
      <c r="C768" s="22" t="s">
        <v>48</v>
      </c>
      <c r="D768" s="27" t="s">
        <v>2347</v>
      </c>
      <c r="E768" s="22" t="s">
        <v>108</v>
      </c>
      <c r="F768" s="21"/>
      <c r="G768" s="16"/>
      <c r="H768" s="21"/>
      <c r="I768" s="21"/>
      <c r="J768" s="21" t="s">
        <v>2348</v>
      </c>
      <c r="K768" s="21"/>
      <c r="L768" s="22" t="s">
        <v>2349</v>
      </c>
      <c r="M768" s="21"/>
      <c r="O768" s="21"/>
      <c r="P768" s="21"/>
      <c r="Q768" s="21" t="s">
        <v>2348</v>
      </c>
      <c r="R768" s="21"/>
      <c r="S768" s="21" t="s">
        <v>2349</v>
      </c>
      <c r="T768" s="13">
        <v>150</v>
      </c>
      <c r="U768" s="23">
        <v>44648</v>
      </c>
      <c r="V768" s="23">
        <v>44648</v>
      </c>
      <c r="W768" s="13">
        <v>0</v>
      </c>
      <c r="X768" s="16"/>
      <c r="Z768" s="27"/>
    </row>
    <row r="769" spans="1:26" ht="75" x14ac:dyDescent="0.25">
      <c r="A769" s="28">
        <v>0</v>
      </c>
      <c r="B769" s="21">
        <v>80204250585</v>
      </c>
      <c r="C769" s="22" t="s">
        <v>48</v>
      </c>
      <c r="D769" s="22" t="s">
        <v>2350</v>
      </c>
      <c r="E769" s="22" t="s">
        <v>108</v>
      </c>
      <c r="F769" s="21"/>
      <c r="G769" s="16"/>
      <c r="H769" s="21"/>
      <c r="I769" s="21"/>
      <c r="J769" s="21" t="s">
        <v>2268</v>
      </c>
      <c r="K769" s="21"/>
      <c r="L769" s="27" t="s">
        <v>2269</v>
      </c>
      <c r="M769" s="21"/>
      <c r="O769" s="21"/>
      <c r="P769" s="21"/>
      <c r="Q769" s="21" t="s">
        <v>2268</v>
      </c>
      <c r="R769" s="21"/>
      <c r="S769" s="16" t="s">
        <v>2269</v>
      </c>
      <c r="T769" s="13">
        <v>380</v>
      </c>
      <c r="U769" s="23">
        <v>44659</v>
      </c>
      <c r="V769" s="23">
        <v>44680</v>
      </c>
      <c r="W769" s="13">
        <v>380</v>
      </c>
      <c r="X769" s="16"/>
      <c r="Z769" s="27"/>
    </row>
    <row r="770" spans="1:26" ht="120" x14ac:dyDescent="0.25">
      <c r="A770" s="28">
        <v>0</v>
      </c>
      <c r="B770" s="21">
        <v>80204250585</v>
      </c>
      <c r="C770" s="22" t="s">
        <v>48</v>
      </c>
      <c r="D770" s="27" t="s">
        <v>2351</v>
      </c>
      <c r="E770" s="22" t="s">
        <v>108</v>
      </c>
      <c r="F770" s="21"/>
      <c r="G770" s="16"/>
      <c r="H770" s="21"/>
      <c r="I770" s="21"/>
      <c r="J770" s="21" t="s">
        <v>2236</v>
      </c>
      <c r="K770" s="21"/>
      <c r="L770" s="22" t="s">
        <v>2237</v>
      </c>
      <c r="M770" s="21"/>
      <c r="O770" s="21"/>
      <c r="P770" s="21"/>
      <c r="Q770" s="21" t="s">
        <v>2236</v>
      </c>
      <c r="R770" s="21"/>
      <c r="S770" s="21" t="s">
        <v>2237</v>
      </c>
      <c r="T770" s="13">
        <v>1000</v>
      </c>
      <c r="U770" s="23">
        <v>44648</v>
      </c>
      <c r="V770" s="23">
        <v>44649</v>
      </c>
      <c r="W770" s="13">
        <v>1000</v>
      </c>
      <c r="X770" s="16"/>
      <c r="Z770" s="27"/>
    </row>
    <row r="771" spans="1:26" ht="120" x14ac:dyDescent="0.25">
      <c r="A771" s="28">
        <v>0</v>
      </c>
      <c r="B771" s="21">
        <v>80204250585</v>
      </c>
      <c r="C771" s="22" t="s">
        <v>48</v>
      </c>
      <c r="D771" s="27" t="s">
        <v>2351</v>
      </c>
      <c r="E771" s="22" t="s">
        <v>108</v>
      </c>
      <c r="F771" s="21"/>
      <c r="G771" s="16"/>
      <c r="H771" s="21"/>
      <c r="I771" s="21"/>
      <c r="J771" s="21" t="s">
        <v>2236</v>
      </c>
      <c r="K771" s="21"/>
      <c r="L771" s="22" t="s">
        <v>2237</v>
      </c>
      <c r="M771" s="21"/>
      <c r="O771" s="21"/>
      <c r="P771" s="21"/>
      <c r="Q771" s="21" t="s">
        <v>2236</v>
      </c>
      <c r="R771" s="21"/>
      <c r="S771" s="21" t="s">
        <v>2237</v>
      </c>
      <c r="T771" s="13">
        <v>1000</v>
      </c>
      <c r="U771" s="23">
        <v>44648</v>
      </c>
      <c r="V771" s="23">
        <v>44649</v>
      </c>
      <c r="W771" s="13">
        <v>1000</v>
      </c>
      <c r="X771" s="16"/>
      <c r="Z771" s="27"/>
    </row>
    <row r="772" spans="1:26" ht="90" x14ac:dyDescent="0.25">
      <c r="A772" s="28">
        <v>0</v>
      </c>
      <c r="B772" s="21">
        <v>80204250585</v>
      </c>
      <c r="C772" s="22" t="s">
        <v>48</v>
      </c>
      <c r="D772" s="22" t="s">
        <v>2352</v>
      </c>
      <c r="E772" s="22" t="s">
        <v>108</v>
      </c>
      <c r="F772" s="21"/>
      <c r="G772" s="16"/>
      <c r="H772" s="21"/>
      <c r="I772" s="21"/>
      <c r="J772" s="21" t="s">
        <v>2262</v>
      </c>
      <c r="K772" s="21"/>
      <c r="L772" s="22" t="s">
        <v>2263</v>
      </c>
      <c r="M772" s="21"/>
      <c r="N772" s="21"/>
      <c r="O772" s="21"/>
      <c r="P772" s="21"/>
      <c r="Q772" s="21" t="s">
        <v>2262</v>
      </c>
      <c r="R772" s="21"/>
      <c r="S772" s="21" t="s">
        <v>2263</v>
      </c>
      <c r="T772" s="13">
        <v>1400</v>
      </c>
      <c r="U772" s="23">
        <v>43738</v>
      </c>
      <c r="V772" s="23">
        <v>43928</v>
      </c>
      <c r="W772" s="13">
        <v>1400</v>
      </c>
      <c r="X772" s="16"/>
      <c r="Z772" s="27"/>
    </row>
    <row r="773" spans="1:26" ht="45" x14ac:dyDescent="0.25">
      <c r="A773" s="28">
        <v>0</v>
      </c>
      <c r="B773" s="21">
        <v>80204250585</v>
      </c>
      <c r="C773" s="22" t="s">
        <v>48</v>
      </c>
      <c r="D773" s="22" t="s">
        <v>2353</v>
      </c>
      <c r="E773" s="22" t="s">
        <v>108</v>
      </c>
      <c r="F773" s="21"/>
      <c r="G773" s="16"/>
      <c r="H773" s="21"/>
      <c r="I773" s="21"/>
      <c r="J773" s="21" t="s">
        <v>2262</v>
      </c>
      <c r="K773" s="21"/>
      <c r="L773" s="22" t="s">
        <v>2263</v>
      </c>
      <c r="M773" s="21"/>
      <c r="N773" s="21"/>
      <c r="O773" s="21"/>
      <c r="P773" s="21"/>
      <c r="Q773" s="21" t="s">
        <v>2262</v>
      </c>
      <c r="R773" s="21"/>
      <c r="S773" s="21" t="s">
        <v>2263</v>
      </c>
      <c r="T773" s="13">
        <v>450</v>
      </c>
      <c r="U773" s="23">
        <v>44649</v>
      </c>
      <c r="V773" s="23">
        <v>44649</v>
      </c>
      <c r="W773" s="13">
        <v>450</v>
      </c>
      <c r="X773" s="16"/>
      <c r="Z773" s="27"/>
    </row>
    <row r="774" spans="1:26" ht="75" x14ac:dyDescent="0.25">
      <c r="A774" s="28">
        <v>0</v>
      </c>
      <c r="B774" s="21">
        <v>80204250585</v>
      </c>
      <c r="C774" s="22" t="s">
        <v>48</v>
      </c>
      <c r="D774" s="27" t="s">
        <v>2354</v>
      </c>
      <c r="E774" s="22" t="s">
        <v>108</v>
      </c>
      <c r="F774" s="21"/>
      <c r="G774" s="16"/>
      <c r="H774" s="21"/>
      <c r="I774" s="21"/>
      <c r="J774" s="21" t="s">
        <v>2236</v>
      </c>
      <c r="K774" s="21"/>
      <c r="L774" s="22" t="s">
        <v>2237</v>
      </c>
      <c r="M774" s="21"/>
      <c r="O774" s="21"/>
      <c r="P774" s="21"/>
      <c r="Q774" s="21" t="s">
        <v>2236</v>
      </c>
      <c r="R774" s="21"/>
      <c r="S774" s="21" t="s">
        <v>2237</v>
      </c>
      <c r="T774" s="13">
        <v>590</v>
      </c>
      <c r="U774" s="23">
        <v>44650</v>
      </c>
      <c r="V774" s="23">
        <v>44650</v>
      </c>
      <c r="W774" s="13">
        <v>590</v>
      </c>
      <c r="X774" s="16"/>
      <c r="Z774" s="27"/>
    </row>
    <row r="775" spans="1:26" ht="120" x14ac:dyDescent="0.25">
      <c r="A775" s="28">
        <v>0</v>
      </c>
      <c r="B775" s="21">
        <v>80204250585</v>
      </c>
      <c r="C775" s="22" t="s">
        <v>48</v>
      </c>
      <c r="D775" s="27" t="s">
        <v>2355</v>
      </c>
      <c r="E775" s="22" t="s">
        <v>108</v>
      </c>
      <c r="F775" s="21"/>
      <c r="G775" s="16"/>
      <c r="H775" s="21"/>
      <c r="I775" s="21"/>
      <c r="J775" s="21" t="s">
        <v>2236</v>
      </c>
      <c r="K775" s="21"/>
      <c r="L775" s="22" t="s">
        <v>2237</v>
      </c>
      <c r="M775" s="21"/>
      <c r="O775" s="21"/>
      <c r="P775" s="21"/>
      <c r="Q775" s="21" t="s">
        <v>2236</v>
      </c>
      <c r="R775" s="21"/>
      <c r="S775" s="21" t="s">
        <v>2237</v>
      </c>
      <c r="T775" s="13">
        <v>8000</v>
      </c>
      <c r="U775" s="23">
        <v>44656</v>
      </c>
      <c r="V775" s="23">
        <v>44657</v>
      </c>
      <c r="W775" s="13">
        <v>8000</v>
      </c>
      <c r="X775" s="16"/>
      <c r="Z775" s="27"/>
    </row>
    <row r="776" spans="1:26" ht="75" x14ac:dyDescent="0.25">
      <c r="A776" s="28">
        <v>0</v>
      </c>
      <c r="B776" s="21">
        <v>80204250585</v>
      </c>
      <c r="C776" s="22" t="s">
        <v>48</v>
      </c>
      <c r="D776" s="27" t="s">
        <v>2356</v>
      </c>
      <c r="E776" s="22" t="s">
        <v>108</v>
      </c>
      <c r="F776" s="21"/>
      <c r="G776" s="16"/>
      <c r="H776" s="21"/>
      <c r="I776" s="21"/>
      <c r="J776" s="21" t="s">
        <v>2236</v>
      </c>
      <c r="K776" s="21"/>
      <c r="L776" s="22" t="s">
        <v>2237</v>
      </c>
      <c r="M776" s="21"/>
      <c r="O776" s="21"/>
      <c r="P776" s="21"/>
      <c r="Q776" s="21" t="s">
        <v>2236</v>
      </c>
      <c r="R776" s="21"/>
      <c r="S776" s="21" t="s">
        <v>2237</v>
      </c>
      <c r="T776" s="13">
        <v>552</v>
      </c>
      <c r="U776" s="23">
        <v>44649</v>
      </c>
      <c r="V776" s="23">
        <v>44649</v>
      </c>
      <c r="W776" s="13">
        <v>552</v>
      </c>
      <c r="X776" s="16"/>
      <c r="Z776" s="27"/>
    </row>
    <row r="777" spans="1:26" ht="75" x14ac:dyDescent="0.25">
      <c r="A777" s="28">
        <v>0</v>
      </c>
      <c r="B777" s="21">
        <v>80204250585</v>
      </c>
      <c r="C777" s="22" t="s">
        <v>48</v>
      </c>
      <c r="D777" s="27" t="s">
        <v>2356</v>
      </c>
      <c r="E777" s="22" t="s">
        <v>108</v>
      </c>
      <c r="F777" s="21"/>
      <c r="G777" s="16"/>
      <c r="H777" s="21"/>
      <c r="I777" s="21"/>
      <c r="J777" s="21" t="s">
        <v>2236</v>
      </c>
      <c r="K777" s="21"/>
      <c r="L777" s="22" t="s">
        <v>2237</v>
      </c>
      <c r="M777" s="21"/>
      <c r="O777" s="21"/>
      <c r="P777" s="21"/>
      <c r="Q777" s="21" t="s">
        <v>2236</v>
      </c>
      <c r="R777" s="21"/>
      <c r="S777" s="21" t="s">
        <v>2237</v>
      </c>
      <c r="T777" s="13">
        <v>552</v>
      </c>
      <c r="U777" s="23">
        <v>44649</v>
      </c>
      <c r="V777" s="23">
        <v>44649</v>
      </c>
      <c r="W777" s="13">
        <v>552</v>
      </c>
      <c r="X777" s="16"/>
      <c r="Z777" s="27"/>
    </row>
    <row r="778" spans="1:26" ht="75" x14ac:dyDescent="0.25">
      <c r="A778" s="28">
        <v>0</v>
      </c>
      <c r="B778" s="21">
        <v>80204250585</v>
      </c>
      <c r="C778" s="22" t="s">
        <v>48</v>
      </c>
      <c r="D778" s="27" t="s">
        <v>2356</v>
      </c>
      <c r="E778" s="22" t="s">
        <v>108</v>
      </c>
      <c r="F778" s="21"/>
      <c r="G778" s="16"/>
      <c r="H778" s="21"/>
      <c r="I778" s="21"/>
      <c r="J778" s="21" t="s">
        <v>2236</v>
      </c>
      <c r="K778" s="21"/>
      <c r="L778" s="22" t="s">
        <v>2237</v>
      </c>
      <c r="M778" s="21"/>
      <c r="O778" s="21"/>
      <c r="P778" s="21"/>
      <c r="Q778" s="21" t="s">
        <v>2236</v>
      </c>
      <c r="R778" s="21"/>
      <c r="S778" s="21" t="s">
        <v>2237</v>
      </c>
      <c r="T778" s="13">
        <v>552</v>
      </c>
      <c r="U778" s="23">
        <v>44649</v>
      </c>
      <c r="V778" s="23">
        <v>44649</v>
      </c>
      <c r="W778" s="13">
        <v>552</v>
      </c>
      <c r="X778" s="16"/>
      <c r="Z778" s="27"/>
    </row>
    <row r="779" spans="1:26" ht="75" x14ac:dyDescent="0.25">
      <c r="A779" s="28">
        <v>0</v>
      </c>
      <c r="B779" s="21">
        <v>80204250585</v>
      </c>
      <c r="C779" s="22" t="s">
        <v>48</v>
      </c>
      <c r="D779" s="27" t="s">
        <v>2357</v>
      </c>
      <c r="E779" s="22" t="s">
        <v>108</v>
      </c>
      <c r="F779" s="21"/>
      <c r="G779" s="16"/>
      <c r="H779" s="21"/>
      <c r="I779" s="21"/>
      <c r="J779" s="21" t="s">
        <v>2236</v>
      </c>
      <c r="K779" s="21"/>
      <c r="L779" s="22" t="s">
        <v>2237</v>
      </c>
      <c r="M779" s="21"/>
      <c r="O779" s="21"/>
      <c r="P779" s="21"/>
      <c r="Q779" s="21" t="s">
        <v>2236</v>
      </c>
      <c r="R779" s="21"/>
      <c r="S779" s="21" t="s">
        <v>2237</v>
      </c>
      <c r="T779" s="13">
        <v>590</v>
      </c>
      <c r="U779" s="23">
        <v>44662</v>
      </c>
      <c r="V779" s="23">
        <v>44662</v>
      </c>
      <c r="W779" s="13">
        <v>590</v>
      </c>
      <c r="X779" s="16"/>
      <c r="Z779" s="27"/>
    </row>
    <row r="780" spans="1:26" ht="75" x14ac:dyDescent="0.25">
      <c r="A780" s="28">
        <v>0</v>
      </c>
      <c r="B780" s="21">
        <v>80204250585</v>
      </c>
      <c r="C780" s="22" t="s">
        <v>48</v>
      </c>
      <c r="D780" s="27" t="s">
        <v>2358</v>
      </c>
      <c r="E780" s="22" t="s">
        <v>108</v>
      </c>
      <c r="F780" s="21"/>
      <c r="G780" s="16"/>
      <c r="H780" s="21"/>
      <c r="I780" s="21"/>
      <c r="J780" s="21" t="s">
        <v>2236</v>
      </c>
      <c r="K780" s="21"/>
      <c r="L780" s="22" t="s">
        <v>2237</v>
      </c>
      <c r="M780" s="21"/>
      <c r="O780" s="21"/>
      <c r="P780" s="21"/>
      <c r="Q780" s="21" t="s">
        <v>2236</v>
      </c>
      <c r="R780" s="21"/>
      <c r="S780" s="21" t="s">
        <v>2237</v>
      </c>
      <c r="T780" s="13">
        <v>800</v>
      </c>
      <c r="U780" s="23">
        <v>44670</v>
      </c>
      <c r="V780" s="23">
        <v>44670</v>
      </c>
      <c r="W780" s="13">
        <v>800</v>
      </c>
      <c r="X780" s="16"/>
      <c r="Z780" s="27"/>
    </row>
    <row r="781" spans="1:26" ht="60" x14ac:dyDescent="0.25">
      <c r="A781" s="28">
        <v>0</v>
      </c>
      <c r="B781" s="21">
        <v>80204250585</v>
      </c>
      <c r="C781" s="22" t="s">
        <v>48</v>
      </c>
      <c r="D781" s="22" t="s">
        <v>2359</v>
      </c>
      <c r="E781" s="22" t="s">
        <v>108</v>
      </c>
      <c r="F781" s="21"/>
      <c r="G781" s="16"/>
      <c r="H781" s="21"/>
      <c r="I781" s="21"/>
      <c r="J781" s="21" t="s">
        <v>2262</v>
      </c>
      <c r="K781" s="21"/>
      <c r="L781" s="22" t="s">
        <v>2263</v>
      </c>
      <c r="M781" s="21"/>
      <c r="N781" s="21"/>
      <c r="O781" s="21"/>
      <c r="P781" s="21"/>
      <c r="Q781" s="21" t="s">
        <v>2262</v>
      </c>
      <c r="R781" s="21"/>
      <c r="S781" s="21" t="s">
        <v>2263</v>
      </c>
      <c r="T781" s="13">
        <v>7850</v>
      </c>
      <c r="U781" s="23">
        <v>44648</v>
      </c>
      <c r="V781" s="23">
        <v>44860</v>
      </c>
      <c r="W781" s="13">
        <v>7500</v>
      </c>
      <c r="X781" s="16"/>
      <c r="Z781" s="27"/>
    </row>
    <row r="782" spans="1:26" ht="75" x14ac:dyDescent="0.25">
      <c r="A782" s="28">
        <v>0</v>
      </c>
      <c r="B782" s="21">
        <v>80204250585</v>
      </c>
      <c r="C782" s="22" t="s">
        <v>48</v>
      </c>
      <c r="D782" s="22" t="s">
        <v>2360</v>
      </c>
      <c r="E782" s="22" t="s">
        <v>108</v>
      </c>
      <c r="F782" s="21"/>
      <c r="G782" s="16"/>
      <c r="H782" s="21"/>
      <c r="I782" s="21"/>
      <c r="J782" s="21" t="s">
        <v>2268</v>
      </c>
      <c r="K782" s="21"/>
      <c r="L782" s="27" t="s">
        <v>2269</v>
      </c>
      <c r="M782" s="21"/>
      <c r="O782" s="21"/>
      <c r="P782" s="21"/>
      <c r="Q782" s="21" t="s">
        <v>2268</v>
      </c>
      <c r="R782" s="21"/>
      <c r="S782" s="16" t="s">
        <v>2269</v>
      </c>
      <c r="T782" s="13">
        <v>380</v>
      </c>
      <c r="U782" s="23">
        <v>44659</v>
      </c>
      <c r="V782" s="23">
        <v>44680</v>
      </c>
      <c r="W782" s="13">
        <v>380</v>
      </c>
      <c r="X782" s="16"/>
      <c r="Z782" s="27"/>
    </row>
    <row r="783" spans="1:26" ht="90" x14ac:dyDescent="0.25">
      <c r="A783" s="28">
        <v>0</v>
      </c>
      <c r="B783" s="21">
        <v>80204250585</v>
      </c>
      <c r="C783" s="22" t="s">
        <v>48</v>
      </c>
      <c r="D783" s="22" t="s">
        <v>2361</v>
      </c>
      <c r="E783" s="22" t="s">
        <v>108</v>
      </c>
      <c r="F783" s="21"/>
      <c r="G783" s="21"/>
      <c r="H783" s="21"/>
      <c r="I783" s="21"/>
      <c r="J783" s="21"/>
      <c r="K783" s="21"/>
      <c r="L783" s="22" t="s">
        <v>2362</v>
      </c>
      <c r="M783" s="21"/>
      <c r="N783" s="21"/>
      <c r="O783" s="21"/>
      <c r="P783" s="21"/>
      <c r="R783" s="21"/>
      <c r="S783" s="21" t="s">
        <v>2362</v>
      </c>
      <c r="T783" s="13">
        <v>650</v>
      </c>
      <c r="U783" s="23">
        <v>44636</v>
      </c>
      <c r="V783" s="23">
        <v>44638</v>
      </c>
      <c r="W783" s="13">
        <v>650</v>
      </c>
      <c r="X783" s="16"/>
      <c r="Z783" s="27"/>
    </row>
    <row r="784" spans="1:26" ht="75" x14ac:dyDescent="0.25">
      <c r="A784" s="28">
        <v>0</v>
      </c>
      <c r="B784" s="21">
        <v>80204250585</v>
      </c>
      <c r="C784" s="22" t="s">
        <v>48</v>
      </c>
      <c r="D784" s="22" t="s">
        <v>2363</v>
      </c>
      <c r="E784" s="22" t="s">
        <v>108</v>
      </c>
      <c r="F784" s="21"/>
      <c r="G784" s="21"/>
      <c r="H784" s="21"/>
      <c r="I784" s="21"/>
      <c r="J784" s="21" t="s">
        <v>2364</v>
      </c>
      <c r="K784" s="21"/>
      <c r="L784" s="22" t="s">
        <v>2365</v>
      </c>
      <c r="M784" s="21"/>
      <c r="N784" s="21"/>
      <c r="O784" s="21"/>
      <c r="P784" s="21"/>
      <c r="Q784" s="21" t="s">
        <v>2364</v>
      </c>
      <c r="R784" s="21"/>
      <c r="S784" s="21" t="s">
        <v>2365</v>
      </c>
      <c r="T784" s="13">
        <v>6030</v>
      </c>
      <c r="U784" s="23">
        <v>44691</v>
      </c>
      <c r="V784" s="23">
        <v>44886</v>
      </c>
      <c r="W784" s="13">
        <v>0</v>
      </c>
      <c r="X784" s="16"/>
      <c r="Z784" s="27"/>
    </row>
    <row r="785" spans="1:26" ht="90" x14ac:dyDescent="0.25">
      <c r="A785" s="28">
        <v>0</v>
      </c>
      <c r="B785" s="21">
        <v>80204250585</v>
      </c>
      <c r="C785" s="22" t="s">
        <v>48</v>
      </c>
      <c r="D785" s="22" t="s">
        <v>2366</v>
      </c>
      <c r="E785" s="22" t="s">
        <v>108</v>
      </c>
      <c r="F785" s="21"/>
      <c r="G785" s="16"/>
      <c r="H785" s="21"/>
      <c r="I785" s="21"/>
      <c r="J785" s="21" t="s">
        <v>2324</v>
      </c>
      <c r="K785" s="21"/>
      <c r="L785" s="22" t="s">
        <v>2325</v>
      </c>
      <c r="M785" s="21"/>
      <c r="N785" s="21"/>
      <c r="O785" s="21"/>
      <c r="P785" s="21"/>
      <c r="Q785" s="21" t="s">
        <v>2324</v>
      </c>
      <c r="R785" s="21"/>
      <c r="S785" s="21" t="s">
        <v>2325</v>
      </c>
      <c r="T785" s="13">
        <v>5400</v>
      </c>
      <c r="U785" s="23">
        <v>44685</v>
      </c>
      <c r="V785" s="23">
        <v>44686</v>
      </c>
      <c r="W785" s="13">
        <v>5400</v>
      </c>
      <c r="X785" s="16"/>
      <c r="Z785" s="27"/>
    </row>
    <row r="786" spans="1:26" ht="90" x14ac:dyDescent="0.25">
      <c r="A786" s="28" t="s">
        <v>2367</v>
      </c>
      <c r="B786" s="21">
        <v>80204250585</v>
      </c>
      <c r="C786" s="22" t="s">
        <v>48</v>
      </c>
      <c r="D786" s="22" t="s">
        <v>2368</v>
      </c>
      <c r="E786" s="22" t="s">
        <v>108</v>
      </c>
      <c r="F786" s="21"/>
      <c r="G786" s="16"/>
      <c r="H786" s="21"/>
      <c r="I786" s="21"/>
      <c r="J786" s="21" t="s">
        <v>2272</v>
      </c>
      <c r="K786" s="21"/>
      <c r="L786" s="22" t="s">
        <v>2273</v>
      </c>
      <c r="M786" s="21"/>
      <c r="O786" s="21"/>
      <c r="P786" s="21"/>
      <c r="Q786" s="21" t="s">
        <v>2272</v>
      </c>
      <c r="R786" s="21"/>
      <c r="S786" s="21" t="s">
        <v>2273</v>
      </c>
      <c r="T786" s="13">
        <v>1800</v>
      </c>
      <c r="U786" s="23">
        <v>44562</v>
      </c>
      <c r="V786" s="23">
        <v>45291</v>
      </c>
      <c r="W786" s="13">
        <v>432</v>
      </c>
      <c r="X786" s="16"/>
      <c r="Z786" s="27"/>
    </row>
    <row r="787" spans="1:26" ht="60" x14ac:dyDescent="0.25">
      <c r="A787" s="28">
        <v>0</v>
      </c>
      <c r="B787" s="21">
        <v>80204250585</v>
      </c>
      <c r="C787" s="22" t="s">
        <v>48</v>
      </c>
      <c r="D787" s="22" t="s">
        <v>2369</v>
      </c>
      <c r="E787" s="22" t="s">
        <v>108</v>
      </c>
      <c r="F787" s="21"/>
      <c r="G787" s="21"/>
      <c r="H787" s="21"/>
      <c r="I787" s="21"/>
      <c r="J787" s="21" t="s">
        <v>2370</v>
      </c>
      <c r="K787" s="21"/>
      <c r="L787" s="22" t="s">
        <v>2371</v>
      </c>
      <c r="M787" s="21"/>
      <c r="N787" s="21"/>
      <c r="O787" s="21"/>
      <c r="P787" s="21"/>
      <c r="Q787" s="21" t="s">
        <v>2370</v>
      </c>
      <c r="R787" s="21"/>
      <c r="S787" s="21" t="s">
        <v>2371</v>
      </c>
      <c r="T787" s="13">
        <v>1404</v>
      </c>
      <c r="U787" s="23">
        <v>44562</v>
      </c>
      <c r="V787" s="23">
        <v>44926</v>
      </c>
      <c r="W787" s="13">
        <v>0</v>
      </c>
      <c r="X787" s="16"/>
      <c r="Z787" s="27"/>
    </row>
    <row r="788" spans="1:26" ht="45" x14ac:dyDescent="0.25">
      <c r="A788" s="28">
        <v>0</v>
      </c>
      <c r="B788" s="21">
        <v>80204250585</v>
      </c>
      <c r="C788" s="22" t="s">
        <v>48</v>
      </c>
      <c r="D788" s="22" t="s">
        <v>2372</v>
      </c>
      <c r="E788" s="22" t="s">
        <v>108</v>
      </c>
      <c r="F788" s="21"/>
      <c r="G788" s="21"/>
      <c r="H788" s="21"/>
      <c r="I788" s="21"/>
      <c r="J788" s="21"/>
      <c r="K788" s="21"/>
      <c r="L788" s="22" t="s">
        <v>2362</v>
      </c>
      <c r="M788" s="21"/>
      <c r="N788" s="21"/>
      <c r="O788" s="21"/>
      <c r="P788" s="21"/>
      <c r="R788" s="21"/>
      <c r="S788" s="21" t="s">
        <v>2362</v>
      </c>
      <c r="T788" s="13">
        <v>250</v>
      </c>
      <c r="U788" s="23">
        <v>44629</v>
      </c>
      <c r="V788" s="23">
        <v>44631</v>
      </c>
      <c r="W788" s="13">
        <v>250</v>
      </c>
      <c r="X788" s="16"/>
      <c r="Z788" s="27"/>
    </row>
    <row r="789" spans="1:26" ht="75" x14ac:dyDescent="0.25">
      <c r="A789" s="28">
        <v>0</v>
      </c>
      <c r="B789" s="21">
        <v>80204250585</v>
      </c>
      <c r="C789" s="22" t="s">
        <v>48</v>
      </c>
      <c r="D789" s="22" t="s">
        <v>2373</v>
      </c>
      <c r="E789" s="22" t="s">
        <v>108</v>
      </c>
      <c r="F789" s="21"/>
      <c r="G789" s="21"/>
      <c r="H789" s="21"/>
      <c r="I789" s="21"/>
      <c r="J789" s="21" t="s">
        <v>2374</v>
      </c>
      <c r="K789" s="21"/>
      <c r="L789" s="22" t="s">
        <v>2375</v>
      </c>
      <c r="M789" s="21"/>
      <c r="N789" s="21"/>
      <c r="O789" s="21"/>
      <c r="P789" s="21"/>
      <c r="Q789" s="21" t="s">
        <v>2374</v>
      </c>
      <c r="R789" s="21"/>
      <c r="S789" s="21" t="s">
        <v>2375</v>
      </c>
      <c r="T789" s="13">
        <v>400</v>
      </c>
      <c r="U789" s="23">
        <v>44690</v>
      </c>
      <c r="V789" s="23">
        <v>44692</v>
      </c>
      <c r="W789" s="13">
        <v>0</v>
      </c>
      <c r="X789" s="16"/>
      <c r="Z789" s="27"/>
    </row>
    <row r="790" spans="1:26" ht="75" x14ac:dyDescent="0.25">
      <c r="A790" s="28">
        <v>0</v>
      </c>
      <c r="B790" s="21">
        <v>80204250585</v>
      </c>
      <c r="C790" s="22" t="s">
        <v>48</v>
      </c>
      <c r="D790" s="22" t="s">
        <v>2373</v>
      </c>
      <c r="E790" s="22" t="s">
        <v>108</v>
      </c>
      <c r="F790" s="21"/>
      <c r="G790" s="21"/>
      <c r="H790" s="21"/>
      <c r="I790" s="21"/>
      <c r="J790" s="21" t="s">
        <v>2374</v>
      </c>
      <c r="K790" s="21"/>
      <c r="L790" s="22" t="s">
        <v>2375</v>
      </c>
      <c r="M790" s="21"/>
      <c r="N790" s="21"/>
      <c r="O790" s="21"/>
      <c r="P790" s="21"/>
      <c r="Q790" s="21" t="s">
        <v>2374</v>
      </c>
      <c r="R790" s="21"/>
      <c r="S790" s="21" t="s">
        <v>2375</v>
      </c>
      <c r="T790" s="13">
        <v>300</v>
      </c>
      <c r="U790" s="23">
        <v>44690</v>
      </c>
      <c r="V790" s="23">
        <v>44692</v>
      </c>
      <c r="W790" s="13">
        <v>0</v>
      </c>
      <c r="X790" s="16"/>
      <c r="Z790" s="27"/>
    </row>
    <row r="791" spans="1:26" ht="75" x14ac:dyDescent="0.25">
      <c r="A791" s="28">
        <v>0</v>
      </c>
      <c r="B791" s="21">
        <v>80204250585</v>
      </c>
      <c r="C791" s="22" t="s">
        <v>48</v>
      </c>
      <c r="D791" s="22" t="s">
        <v>2373</v>
      </c>
      <c r="E791" s="22" t="s">
        <v>108</v>
      </c>
      <c r="F791" s="21"/>
      <c r="G791" s="21"/>
      <c r="H791" s="21"/>
      <c r="I791" s="21"/>
      <c r="J791" s="21" t="s">
        <v>2374</v>
      </c>
      <c r="K791" s="21"/>
      <c r="L791" s="22" t="s">
        <v>2375</v>
      </c>
      <c r="M791" s="21"/>
      <c r="N791" s="21"/>
      <c r="O791" s="21"/>
      <c r="P791" s="21"/>
      <c r="Q791" s="21" t="s">
        <v>2374</v>
      </c>
      <c r="R791" s="21"/>
      <c r="S791" s="21" t="s">
        <v>2375</v>
      </c>
      <c r="T791" s="13">
        <v>300</v>
      </c>
      <c r="U791" s="23">
        <v>44690</v>
      </c>
      <c r="V791" s="23">
        <v>44692</v>
      </c>
      <c r="W791" s="13">
        <v>0</v>
      </c>
      <c r="X791" s="16"/>
      <c r="Z791" s="27"/>
    </row>
    <row r="792" spans="1:26" ht="75" x14ac:dyDescent="0.25">
      <c r="A792" s="28">
        <v>0</v>
      </c>
      <c r="B792" s="21" t="s">
        <v>468</v>
      </c>
      <c r="C792" s="22" t="s">
        <v>48</v>
      </c>
      <c r="D792" s="22" t="s">
        <v>2373</v>
      </c>
      <c r="E792" s="22" t="s">
        <v>108</v>
      </c>
      <c r="F792" s="21"/>
      <c r="G792" s="21"/>
      <c r="H792" s="21"/>
      <c r="I792" s="21"/>
      <c r="J792" s="21" t="s">
        <v>2374</v>
      </c>
      <c r="K792" s="21"/>
      <c r="L792" s="22" t="s">
        <v>2375</v>
      </c>
      <c r="M792" s="21"/>
      <c r="N792" s="21"/>
      <c r="O792" s="21"/>
      <c r="P792" s="21"/>
      <c r="Q792" s="21" t="s">
        <v>2374</v>
      </c>
      <c r="R792" s="21"/>
      <c r="S792" s="21" t="s">
        <v>2375</v>
      </c>
      <c r="T792" s="13">
        <v>280</v>
      </c>
      <c r="U792" s="23">
        <v>44690</v>
      </c>
      <c r="V792" s="23">
        <v>44692</v>
      </c>
      <c r="W792" s="13">
        <v>0</v>
      </c>
      <c r="X792" s="16"/>
      <c r="Z792" s="27"/>
    </row>
    <row r="793" spans="1:26" ht="90" x14ac:dyDescent="0.25">
      <c r="A793" s="24" t="s">
        <v>2376</v>
      </c>
      <c r="B793" s="21" t="s">
        <v>468</v>
      </c>
      <c r="C793" s="22" t="s">
        <v>48</v>
      </c>
      <c r="D793" s="22" t="s">
        <v>2377</v>
      </c>
      <c r="E793" s="22" t="s">
        <v>108</v>
      </c>
      <c r="F793" s="21"/>
      <c r="G793" s="21"/>
      <c r="H793" s="21"/>
      <c r="I793" s="21"/>
      <c r="J793" s="21" t="s">
        <v>2378</v>
      </c>
      <c r="K793" s="21"/>
      <c r="L793" s="22" t="s">
        <v>2379</v>
      </c>
      <c r="M793" s="21"/>
      <c r="N793" s="21"/>
      <c r="O793" s="21"/>
      <c r="P793" s="21"/>
      <c r="Q793" s="21" t="s">
        <v>2378</v>
      </c>
      <c r="R793" s="21"/>
      <c r="S793" s="21" t="s">
        <v>2379</v>
      </c>
      <c r="T793" s="13">
        <v>30500</v>
      </c>
      <c r="U793" s="23">
        <v>44562</v>
      </c>
      <c r="V793" s="23">
        <v>44926</v>
      </c>
      <c r="W793" s="13">
        <v>30500</v>
      </c>
      <c r="X793" s="16"/>
      <c r="Z793" s="27"/>
    </row>
    <row r="794" spans="1:26" ht="75" x14ac:dyDescent="0.25">
      <c r="A794" s="28">
        <v>0</v>
      </c>
      <c r="B794" s="21" t="s">
        <v>468</v>
      </c>
      <c r="C794" s="22" t="s">
        <v>48</v>
      </c>
      <c r="D794" s="22" t="s">
        <v>2373</v>
      </c>
      <c r="E794" s="22" t="s">
        <v>108</v>
      </c>
      <c r="F794" s="21"/>
      <c r="G794" s="21"/>
      <c r="H794" s="21"/>
      <c r="I794" s="21"/>
      <c r="J794" s="21" t="s">
        <v>2374</v>
      </c>
      <c r="K794" s="21"/>
      <c r="L794" s="22" t="s">
        <v>2375</v>
      </c>
      <c r="M794" s="21"/>
      <c r="N794" s="21"/>
      <c r="O794" s="21"/>
      <c r="P794" s="21"/>
      <c r="Q794" s="21" t="s">
        <v>2374</v>
      </c>
      <c r="R794" s="21"/>
      <c r="S794" s="21" t="s">
        <v>2375</v>
      </c>
      <c r="T794" s="13">
        <v>280</v>
      </c>
      <c r="U794" s="23">
        <v>44690</v>
      </c>
      <c r="V794" s="23">
        <v>44692</v>
      </c>
      <c r="W794" s="13">
        <v>0</v>
      </c>
      <c r="X794" s="16"/>
      <c r="Z794" s="27"/>
    </row>
    <row r="795" spans="1:26" ht="75" x14ac:dyDescent="0.25">
      <c r="A795" s="28">
        <v>0</v>
      </c>
      <c r="B795" s="21" t="s">
        <v>468</v>
      </c>
      <c r="C795" s="22" t="s">
        <v>48</v>
      </c>
      <c r="D795" s="22" t="s">
        <v>2373</v>
      </c>
      <c r="E795" s="22" t="s">
        <v>108</v>
      </c>
      <c r="F795" s="21"/>
      <c r="G795" s="21"/>
      <c r="H795" s="21"/>
      <c r="I795" s="21"/>
      <c r="J795" s="21" t="s">
        <v>2374</v>
      </c>
      <c r="K795" s="21"/>
      <c r="L795" s="22" t="s">
        <v>2375</v>
      </c>
      <c r="M795" s="21"/>
      <c r="N795" s="21"/>
      <c r="O795" s="21"/>
      <c r="P795" s="21"/>
      <c r="Q795" s="21" t="s">
        <v>2374</v>
      </c>
      <c r="R795" s="21"/>
      <c r="S795" s="21" t="s">
        <v>2375</v>
      </c>
      <c r="T795" s="13">
        <v>280</v>
      </c>
      <c r="U795" s="23">
        <v>44690</v>
      </c>
      <c r="V795" s="23">
        <v>44692</v>
      </c>
      <c r="W795" s="13">
        <v>0</v>
      </c>
      <c r="X795" s="16"/>
      <c r="Z795" s="27"/>
    </row>
    <row r="796" spans="1:26" ht="75" x14ac:dyDescent="0.25">
      <c r="A796" s="28">
        <v>0</v>
      </c>
      <c r="B796" s="21" t="s">
        <v>468</v>
      </c>
      <c r="C796" s="22" t="s">
        <v>48</v>
      </c>
      <c r="D796" s="22" t="s">
        <v>2373</v>
      </c>
      <c r="E796" s="22" t="s">
        <v>108</v>
      </c>
      <c r="F796" s="21"/>
      <c r="G796" s="21"/>
      <c r="H796" s="21"/>
      <c r="I796" s="21"/>
      <c r="J796" s="21" t="s">
        <v>2374</v>
      </c>
      <c r="K796" s="21"/>
      <c r="L796" s="22" t="s">
        <v>2375</v>
      </c>
      <c r="M796" s="21"/>
      <c r="N796" s="21"/>
      <c r="O796" s="21"/>
      <c r="P796" s="21"/>
      <c r="Q796" s="21" t="s">
        <v>2374</v>
      </c>
      <c r="R796" s="21"/>
      <c r="S796" s="21" t="s">
        <v>2375</v>
      </c>
      <c r="T796" s="13">
        <v>280</v>
      </c>
      <c r="U796" s="23">
        <v>44690</v>
      </c>
      <c r="V796" s="23">
        <v>44692</v>
      </c>
      <c r="W796" s="13">
        <v>0</v>
      </c>
      <c r="X796" s="16"/>
      <c r="Z796" s="27"/>
    </row>
    <row r="797" spans="1:26" ht="75" x14ac:dyDescent="0.25">
      <c r="A797" s="28">
        <v>0</v>
      </c>
      <c r="B797" s="21" t="s">
        <v>468</v>
      </c>
      <c r="C797" s="22" t="s">
        <v>48</v>
      </c>
      <c r="D797" s="22" t="s">
        <v>2373</v>
      </c>
      <c r="E797" s="22" t="s">
        <v>108</v>
      </c>
      <c r="F797" s="21"/>
      <c r="G797" s="21"/>
      <c r="H797" s="21"/>
      <c r="I797" s="21"/>
      <c r="J797" s="21" t="s">
        <v>2374</v>
      </c>
      <c r="K797" s="21"/>
      <c r="L797" s="22" t="s">
        <v>2375</v>
      </c>
      <c r="M797" s="21"/>
      <c r="N797" s="21"/>
      <c r="O797" s="21"/>
      <c r="P797" s="21"/>
      <c r="Q797" s="21" t="s">
        <v>2374</v>
      </c>
      <c r="R797" s="21"/>
      <c r="S797" s="21" t="s">
        <v>2375</v>
      </c>
      <c r="T797" s="13">
        <v>280</v>
      </c>
      <c r="U797" s="23">
        <v>44690</v>
      </c>
      <c r="V797" s="23">
        <v>44692</v>
      </c>
      <c r="W797" s="13">
        <v>0</v>
      </c>
      <c r="X797" s="16"/>
      <c r="Z797" s="27"/>
    </row>
    <row r="798" spans="1:26" ht="60" x14ac:dyDescent="0.25">
      <c r="A798" s="28">
        <v>0</v>
      </c>
      <c r="B798" s="21" t="s">
        <v>468</v>
      </c>
      <c r="C798" s="22" t="s">
        <v>48</v>
      </c>
      <c r="D798" s="22" t="s">
        <v>2380</v>
      </c>
      <c r="E798" s="22" t="s">
        <v>108</v>
      </c>
      <c r="F798" s="21"/>
      <c r="G798" s="21"/>
      <c r="H798" s="21"/>
      <c r="I798" s="21"/>
      <c r="J798" s="21" t="s">
        <v>2381</v>
      </c>
      <c r="K798" s="21"/>
      <c r="L798" s="22" t="s">
        <v>2382</v>
      </c>
      <c r="M798" s="21"/>
      <c r="N798" s="21"/>
      <c r="O798" s="21"/>
      <c r="P798" s="21"/>
      <c r="Q798" s="21" t="s">
        <v>2381</v>
      </c>
      <c r="R798" s="21"/>
      <c r="S798" s="21" t="s">
        <v>2382</v>
      </c>
      <c r="T798" s="13">
        <v>366</v>
      </c>
      <c r="U798" s="23">
        <v>44713</v>
      </c>
      <c r="V798" s="23">
        <v>44742</v>
      </c>
      <c r="W798" s="13">
        <v>366</v>
      </c>
      <c r="X798" s="16"/>
      <c r="Z798" s="27"/>
    </row>
    <row r="799" spans="1:26" ht="60" x14ac:dyDescent="0.25">
      <c r="A799" s="28">
        <v>0</v>
      </c>
      <c r="B799" s="21">
        <v>80204250585</v>
      </c>
      <c r="C799" s="22" t="s">
        <v>48</v>
      </c>
      <c r="D799" s="22" t="s">
        <v>2383</v>
      </c>
      <c r="E799" s="22" t="s">
        <v>108</v>
      </c>
      <c r="F799" s="21"/>
      <c r="G799" s="21"/>
      <c r="H799" s="21"/>
      <c r="I799" s="21"/>
      <c r="J799" s="21"/>
      <c r="K799" s="21"/>
      <c r="L799" s="22" t="s">
        <v>2362</v>
      </c>
      <c r="M799" s="21"/>
      <c r="N799" s="21"/>
      <c r="O799" s="21"/>
      <c r="P799" s="21"/>
      <c r="R799" s="21"/>
      <c r="S799" s="21" t="s">
        <v>2362</v>
      </c>
      <c r="T799" s="13">
        <v>150</v>
      </c>
      <c r="U799" s="23">
        <v>44713</v>
      </c>
      <c r="V799" s="23">
        <v>44715</v>
      </c>
      <c r="W799" s="13">
        <v>0</v>
      </c>
      <c r="X799" s="16"/>
      <c r="Z799" s="27"/>
    </row>
    <row r="800" spans="1:26" ht="60" x14ac:dyDescent="0.25">
      <c r="A800" s="28">
        <v>0</v>
      </c>
      <c r="B800" s="21">
        <v>80204250585</v>
      </c>
      <c r="C800" s="22" t="s">
        <v>48</v>
      </c>
      <c r="D800" s="22" t="s">
        <v>2383</v>
      </c>
      <c r="E800" s="22" t="s">
        <v>108</v>
      </c>
      <c r="F800" s="21"/>
      <c r="G800" s="21"/>
      <c r="H800" s="21"/>
      <c r="I800" s="21"/>
      <c r="J800" s="21"/>
      <c r="K800" s="21"/>
      <c r="L800" s="22" t="s">
        <v>2362</v>
      </c>
      <c r="M800" s="21"/>
      <c r="N800" s="21"/>
      <c r="O800" s="21"/>
      <c r="P800" s="21"/>
      <c r="R800" s="21"/>
      <c r="S800" s="21" t="s">
        <v>2362</v>
      </c>
      <c r="T800" s="13">
        <v>150</v>
      </c>
      <c r="U800" s="23">
        <v>44713</v>
      </c>
      <c r="V800" s="23">
        <v>44715</v>
      </c>
      <c r="W800" s="13">
        <v>0</v>
      </c>
      <c r="X800" s="16"/>
      <c r="Z800" s="27"/>
    </row>
    <row r="801" spans="1:26" ht="120" x14ac:dyDescent="0.25">
      <c r="A801" s="28">
        <v>0</v>
      </c>
      <c r="B801" s="21">
        <v>80204250585</v>
      </c>
      <c r="C801" s="22" t="s">
        <v>48</v>
      </c>
      <c r="D801" s="22" t="s">
        <v>2384</v>
      </c>
      <c r="E801" s="22" t="s">
        <v>108</v>
      </c>
      <c r="F801" s="21"/>
      <c r="G801" s="16"/>
      <c r="H801" s="21"/>
      <c r="I801" s="21"/>
      <c r="J801" s="21" t="s">
        <v>2312</v>
      </c>
      <c r="K801" s="21"/>
      <c r="L801" s="22" t="s">
        <v>2313</v>
      </c>
      <c r="M801" s="21"/>
      <c r="O801" s="21"/>
      <c r="P801" s="21"/>
      <c r="Q801" s="21" t="s">
        <v>2312</v>
      </c>
      <c r="R801" s="21"/>
      <c r="S801" s="21" t="s">
        <v>2313</v>
      </c>
      <c r="T801" s="13">
        <v>500</v>
      </c>
      <c r="U801" s="23">
        <v>44712</v>
      </c>
      <c r="V801" s="23">
        <v>44712</v>
      </c>
      <c r="W801" s="13">
        <v>500</v>
      </c>
      <c r="X801" s="16"/>
      <c r="Z801" s="27"/>
    </row>
    <row r="802" spans="1:26" ht="120" x14ac:dyDescent="0.25">
      <c r="A802" s="28">
        <v>0</v>
      </c>
      <c r="B802" s="21">
        <v>80204250585</v>
      </c>
      <c r="C802" s="22" t="s">
        <v>48</v>
      </c>
      <c r="D802" s="22" t="s">
        <v>2384</v>
      </c>
      <c r="E802" s="22" t="s">
        <v>108</v>
      </c>
      <c r="F802" s="21"/>
      <c r="G802" s="16"/>
      <c r="H802" s="21"/>
      <c r="I802" s="21"/>
      <c r="J802" s="21" t="s">
        <v>2312</v>
      </c>
      <c r="K802" s="21"/>
      <c r="L802" s="22" t="s">
        <v>2313</v>
      </c>
      <c r="M802" s="21"/>
      <c r="O802" s="21"/>
      <c r="P802" s="21"/>
      <c r="Q802" s="21" t="s">
        <v>2312</v>
      </c>
      <c r="R802" s="21"/>
      <c r="S802" s="21" t="s">
        <v>2313</v>
      </c>
      <c r="T802" s="13">
        <v>500</v>
      </c>
      <c r="U802" s="23">
        <v>44712</v>
      </c>
      <c r="V802" s="23">
        <v>44712</v>
      </c>
      <c r="W802" s="13">
        <v>500</v>
      </c>
      <c r="X802" s="16"/>
      <c r="Z802" s="27"/>
    </row>
    <row r="803" spans="1:26" ht="60" x14ac:dyDescent="0.25">
      <c r="A803" s="28">
        <v>0</v>
      </c>
      <c r="B803" s="21">
        <v>80204250585</v>
      </c>
      <c r="C803" s="22" t="s">
        <v>48</v>
      </c>
      <c r="D803" s="22" t="s">
        <v>2385</v>
      </c>
      <c r="E803" s="22" t="s">
        <v>108</v>
      </c>
      <c r="F803" s="21"/>
      <c r="G803" s="21"/>
      <c r="H803" s="21"/>
      <c r="I803" s="21"/>
      <c r="J803" s="21" t="s">
        <v>2386</v>
      </c>
      <c r="K803" s="21"/>
      <c r="L803" s="27" t="s">
        <v>2387</v>
      </c>
      <c r="M803" s="21"/>
      <c r="N803" s="21"/>
      <c r="O803" s="21"/>
      <c r="P803" s="21"/>
      <c r="Q803" s="21" t="s">
        <v>2386</v>
      </c>
      <c r="R803" s="21"/>
      <c r="S803" s="16" t="s">
        <v>2387</v>
      </c>
      <c r="T803" s="13">
        <v>49</v>
      </c>
      <c r="U803" s="23">
        <v>44562</v>
      </c>
      <c r="V803" s="23">
        <v>44926</v>
      </c>
      <c r="W803" s="13">
        <v>0</v>
      </c>
      <c r="X803" s="16"/>
      <c r="Z803" s="27"/>
    </row>
    <row r="804" spans="1:26" ht="105" x14ac:dyDescent="0.25">
      <c r="A804" s="28">
        <v>0</v>
      </c>
      <c r="B804" s="21" t="s">
        <v>468</v>
      </c>
      <c r="C804" s="22" t="s">
        <v>48</v>
      </c>
      <c r="D804" s="22" t="s">
        <v>2388</v>
      </c>
      <c r="E804" s="22" t="s">
        <v>108</v>
      </c>
      <c r="F804" s="21"/>
      <c r="G804" s="21"/>
      <c r="H804" s="21"/>
      <c r="I804" s="21"/>
      <c r="J804" s="21" t="s">
        <v>2374</v>
      </c>
      <c r="K804" s="21"/>
      <c r="L804" s="22" t="s">
        <v>2375</v>
      </c>
      <c r="M804" s="21"/>
      <c r="N804" s="21"/>
      <c r="O804" s="21"/>
      <c r="P804" s="21"/>
      <c r="Q804" s="21" t="s">
        <v>2374</v>
      </c>
      <c r="R804" s="21"/>
      <c r="S804" s="21" t="s">
        <v>2375</v>
      </c>
      <c r="T804" s="13">
        <v>250</v>
      </c>
      <c r="U804" s="23">
        <v>44726</v>
      </c>
      <c r="V804" s="23">
        <v>44726</v>
      </c>
      <c r="W804" s="13">
        <v>0</v>
      </c>
      <c r="X804" s="16"/>
      <c r="Z804" s="27"/>
    </row>
    <row r="805" spans="1:26" ht="90" x14ac:dyDescent="0.25">
      <c r="A805" s="28">
        <v>0</v>
      </c>
      <c r="B805" s="21" t="s">
        <v>468</v>
      </c>
      <c r="C805" s="22" t="s">
        <v>48</v>
      </c>
      <c r="D805" s="22" t="s">
        <v>2389</v>
      </c>
      <c r="E805" s="22" t="s">
        <v>108</v>
      </c>
      <c r="F805" s="21"/>
      <c r="G805" s="21"/>
      <c r="H805" s="21"/>
      <c r="I805" s="21"/>
      <c r="J805" s="21" t="s">
        <v>2390</v>
      </c>
      <c r="K805" s="21"/>
      <c r="L805" s="22" t="s">
        <v>2391</v>
      </c>
      <c r="M805" s="21"/>
      <c r="N805" s="21"/>
      <c r="O805" s="21"/>
      <c r="P805" s="21"/>
      <c r="Q805" s="21" t="s">
        <v>2390</v>
      </c>
      <c r="R805" s="21"/>
      <c r="S805" s="21" t="s">
        <v>2391</v>
      </c>
      <c r="T805" s="13">
        <v>81</v>
      </c>
      <c r="U805" s="23">
        <v>44562</v>
      </c>
      <c r="V805" s="23">
        <v>44926</v>
      </c>
      <c r="W805" s="13">
        <v>72.900000000000006</v>
      </c>
      <c r="X805" s="16"/>
      <c r="Z805" s="27"/>
    </row>
    <row r="806" spans="1:26" ht="75" x14ac:dyDescent="0.25">
      <c r="A806" s="28">
        <v>0</v>
      </c>
      <c r="B806" s="21" t="s">
        <v>468</v>
      </c>
      <c r="C806" s="22" t="s">
        <v>48</v>
      </c>
      <c r="D806" s="22" t="s">
        <v>2392</v>
      </c>
      <c r="E806" s="22" t="s">
        <v>108</v>
      </c>
      <c r="F806" s="21"/>
      <c r="G806" s="21"/>
      <c r="H806" s="21"/>
      <c r="I806" s="21"/>
      <c r="J806" s="21" t="s">
        <v>2390</v>
      </c>
      <c r="K806" s="21"/>
      <c r="L806" s="22" t="s">
        <v>2391</v>
      </c>
      <c r="M806" s="21"/>
      <c r="N806" s="21"/>
      <c r="O806" s="21"/>
      <c r="P806" s="21"/>
      <c r="Q806" s="21" t="s">
        <v>2390</v>
      </c>
      <c r="R806" s="21"/>
      <c r="S806" s="21" t="s">
        <v>2391</v>
      </c>
      <c r="T806" s="13">
        <v>56</v>
      </c>
      <c r="U806" s="23">
        <v>44562</v>
      </c>
      <c r="V806" s="23">
        <v>44926</v>
      </c>
      <c r="W806" s="13">
        <v>56</v>
      </c>
      <c r="X806" s="16"/>
      <c r="Z806" s="27"/>
    </row>
    <row r="807" spans="1:26" ht="90" x14ac:dyDescent="0.25">
      <c r="A807" s="28">
        <v>0</v>
      </c>
      <c r="B807" s="21" t="s">
        <v>468</v>
      </c>
      <c r="C807" s="22" t="s">
        <v>48</v>
      </c>
      <c r="D807" s="22" t="s">
        <v>2389</v>
      </c>
      <c r="E807" s="22" t="s">
        <v>108</v>
      </c>
      <c r="F807" s="21"/>
      <c r="G807" s="21"/>
      <c r="H807" s="21"/>
      <c r="I807" s="21"/>
      <c r="J807" s="21" t="s">
        <v>2390</v>
      </c>
      <c r="K807" s="21"/>
      <c r="L807" s="22" t="s">
        <v>2391</v>
      </c>
      <c r="M807" s="21"/>
      <c r="N807" s="21"/>
      <c r="O807" s="21"/>
      <c r="P807" s="21"/>
      <c r="Q807" s="21" t="s">
        <v>2390</v>
      </c>
      <c r="R807" s="21"/>
      <c r="S807" s="21" t="s">
        <v>2391</v>
      </c>
      <c r="T807" s="13">
        <v>81</v>
      </c>
      <c r="U807" s="23">
        <v>44562</v>
      </c>
      <c r="V807" s="23">
        <v>44926</v>
      </c>
      <c r="W807" s="13">
        <v>72.900000000000006</v>
      </c>
      <c r="X807" s="16"/>
      <c r="Z807" s="27"/>
    </row>
    <row r="808" spans="1:26" ht="75" x14ac:dyDescent="0.25">
      <c r="A808" s="28">
        <v>0</v>
      </c>
      <c r="B808" s="21" t="s">
        <v>468</v>
      </c>
      <c r="C808" s="22" t="s">
        <v>48</v>
      </c>
      <c r="D808" s="22" t="s">
        <v>2392</v>
      </c>
      <c r="E808" s="22" t="s">
        <v>108</v>
      </c>
      <c r="F808" s="21"/>
      <c r="G808" s="21"/>
      <c r="H808" s="21"/>
      <c r="I808" s="21"/>
      <c r="J808" s="21" t="s">
        <v>2390</v>
      </c>
      <c r="K808" s="21"/>
      <c r="L808" s="22" t="s">
        <v>2391</v>
      </c>
      <c r="M808" s="21"/>
      <c r="N808" s="21"/>
      <c r="O808" s="21"/>
      <c r="P808" s="21"/>
      <c r="Q808" s="21" t="s">
        <v>2390</v>
      </c>
      <c r="R808" s="21"/>
      <c r="S808" s="21" t="s">
        <v>2391</v>
      </c>
      <c r="T808" s="13">
        <v>56</v>
      </c>
      <c r="U808" s="23">
        <v>44562</v>
      </c>
      <c r="V808" s="23">
        <v>44926</v>
      </c>
      <c r="W808" s="13">
        <v>50.4</v>
      </c>
      <c r="X808" s="16"/>
      <c r="Z808" s="27"/>
    </row>
    <row r="809" spans="1:26" ht="75" x14ac:dyDescent="0.25">
      <c r="A809" s="28">
        <v>0</v>
      </c>
      <c r="B809" s="21" t="s">
        <v>468</v>
      </c>
      <c r="C809" s="22" t="s">
        <v>48</v>
      </c>
      <c r="D809" s="22" t="s">
        <v>2392</v>
      </c>
      <c r="E809" s="22" t="s">
        <v>108</v>
      </c>
      <c r="F809" s="21"/>
      <c r="G809" s="21"/>
      <c r="H809" s="21"/>
      <c r="I809" s="21"/>
      <c r="J809" s="21" t="s">
        <v>2390</v>
      </c>
      <c r="K809" s="21"/>
      <c r="L809" s="22" t="s">
        <v>2391</v>
      </c>
      <c r="M809" s="21"/>
      <c r="N809" s="21"/>
      <c r="O809" s="21"/>
      <c r="P809" s="21"/>
      <c r="Q809" s="21" t="s">
        <v>2390</v>
      </c>
      <c r="R809" s="21"/>
      <c r="S809" s="21" t="s">
        <v>2391</v>
      </c>
      <c r="T809" s="13">
        <v>56</v>
      </c>
      <c r="U809" s="23">
        <v>44562</v>
      </c>
      <c r="V809" s="23">
        <v>44926</v>
      </c>
      <c r="W809" s="13">
        <v>50.4</v>
      </c>
      <c r="X809" s="16"/>
      <c r="Z809" s="27"/>
    </row>
    <row r="810" spans="1:26" ht="90" x14ac:dyDescent="0.25">
      <c r="A810" s="28">
        <v>0</v>
      </c>
      <c r="B810" s="21" t="s">
        <v>468</v>
      </c>
      <c r="C810" s="22" t="s">
        <v>48</v>
      </c>
      <c r="D810" s="22" t="s">
        <v>2389</v>
      </c>
      <c r="E810" s="22" t="s">
        <v>108</v>
      </c>
      <c r="F810" s="21"/>
      <c r="G810" s="21"/>
      <c r="H810" s="21"/>
      <c r="I810" s="21"/>
      <c r="J810" s="21" t="s">
        <v>2390</v>
      </c>
      <c r="K810" s="21"/>
      <c r="L810" s="22" t="s">
        <v>2391</v>
      </c>
      <c r="M810" s="21"/>
      <c r="N810" s="21"/>
      <c r="O810" s="21"/>
      <c r="P810" s="21"/>
      <c r="Q810" s="21" t="s">
        <v>2390</v>
      </c>
      <c r="R810" s="21"/>
      <c r="S810" s="21" t="s">
        <v>2391</v>
      </c>
      <c r="T810" s="13">
        <v>81</v>
      </c>
      <c r="U810" s="23">
        <v>44562</v>
      </c>
      <c r="V810" s="23">
        <v>44926</v>
      </c>
      <c r="W810" s="13">
        <v>81</v>
      </c>
      <c r="X810" s="16"/>
      <c r="Z810" s="27"/>
    </row>
    <row r="811" spans="1:26" ht="60" x14ac:dyDescent="0.25">
      <c r="A811" s="28">
        <v>0</v>
      </c>
      <c r="B811" s="21" t="s">
        <v>468</v>
      </c>
      <c r="C811" s="22" t="s">
        <v>48</v>
      </c>
      <c r="D811" s="22" t="s">
        <v>2393</v>
      </c>
      <c r="E811" s="22" t="s">
        <v>108</v>
      </c>
      <c r="F811" s="21"/>
      <c r="G811" s="21"/>
      <c r="H811" s="21"/>
      <c r="I811" s="21"/>
      <c r="J811" s="21"/>
      <c r="K811" s="21"/>
      <c r="L811" s="22" t="s">
        <v>2394</v>
      </c>
      <c r="M811" s="21"/>
      <c r="N811" s="21"/>
      <c r="O811" s="21"/>
      <c r="P811" s="21"/>
      <c r="R811" s="21"/>
      <c r="S811" s="21" t="s">
        <v>2394</v>
      </c>
      <c r="T811" s="13">
        <v>11550</v>
      </c>
      <c r="U811" s="23">
        <v>44844</v>
      </c>
      <c r="V811" s="23">
        <v>44848</v>
      </c>
      <c r="W811" s="13">
        <v>0</v>
      </c>
      <c r="X811" s="16"/>
      <c r="Z811" s="27"/>
    </row>
    <row r="812" spans="1:26" ht="75" x14ac:dyDescent="0.25">
      <c r="A812" s="28">
        <v>0</v>
      </c>
      <c r="B812" s="21">
        <v>80204250585</v>
      </c>
      <c r="C812" s="22" t="s">
        <v>48</v>
      </c>
      <c r="D812" s="22" t="s">
        <v>2395</v>
      </c>
      <c r="E812" s="22" t="s">
        <v>108</v>
      </c>
      <c r="F812" s="21"/>
      <c r="G812" s="21"/>
      <c r="H812" s="21"/>
      <c r="I812" s="21"/>
      <c r="J812" s="21"/>
      <c r="K812" s="21"/>
      <c r="L812" s="22" t="s">
        <v>2362</v>
      </c>
      <c r="M812" s="21"/>
      <c r="N812" s="21"/>
      <c r="O812" s="21"/>
      <c r="P812" s="21"/>
      <c r="R812" s="21"/>
      <c r="S812" s="21" t="s">
        <v>2362</v>
      </c>
      <c r="T812" s="13">
        <v>650</v>
      </c>
      <c r="U812" s="23">
        <v>44734</v>
      </c>
      <c r="V812" s="23">
        <v>44736</v>
      </c>
      <c r="W812" s="13">
        <v>0</v>
      </c>
      <c r="X812" s="16"/>
      <c r="Z812" s="27"/>
    </row>
    <row r="813" spans="1:26" ht="60" x14ac:dyDescent="0.25">
      <c r="A813" s="28" t="s">
        <v>1353</v>
      </c>
      <c r="B813" s="21">
        <v>80204250585</v>
      </c>
      <c r="C813" s="22" t="s">
        <v>48</v>
      </c>
      <c r="D813" s="22" t="s">
        <v>2396</v>
      </c>
      <c r="E813" s="22" t="s">
        <v>108</v>
      </c>
      <c r="F813" s="21"/>
      <c r="G813" s="16"/>
      <c r="H813" s="21"/>
      <c r="I813" s="21"/>
      <c r="J813" s="21" t="s">
        <v>2334</v>
      </c>
      <c r="K813" s="21"/>
      <c r="L813" s="22" t="s">
        <v>2335</v>
      </c>
      <c r="M813" s="21"/>
      <c r="N813" s="21"/>
      <c r="O813" s="21"/>
      <c r="P813" s="21"/>
      <c r="Q813" s="21" t="s">
        <v>2334</v>
      </c>
      <c r="R813" s="21"/>
      <c r="S813" s="21" t="s">
        <v>2335</v>
      </c>
      <c r="T813" s="13">
        <v>400</v>
      </c>
      <c r="U813" s="23">
        <v>44683</v>
      </c>
      <c r="V813" s="23">
        <v>44683</v>
      </c>
      <c r="W813" s="13">
        <v>400</v>
      </c>
      <c r="X813" s="16"/>
      <c r="Z813" s="27"/>
    </row>
    <row r="814" spans="1:26" ht="90" x14ac:dyDescent="0.25">
      <c r="A814" s="28" t="s">
        <v>1351</v>
      </c>
      <c r="B814" s="21">
        <v>80204250585</v>
      </c>
      <c r="C814" s="22" t="s">
        <v>48</v>
      </c>
      <c r="D814" s="22" t="s">
        <v>2397</v>
      </c>
      <c r="E814" s="22" t="s">
        <v>108</v>
      </c>
      <c r="F814" s="21"/>
      <c r="G814" s="16"/>
      <c r="H814" s="21"/>
      <c r="I814" s="21"/>
      <c r="J814" s="21" t="s">
        <v>2338</v>
      </c>
      <c r="K814" s="21"/>
      <c r="L814" s="22" t="s">
        <v>2339</v>
      </c>
      <c r="M814" s="21"/>
      <c r="N814" s="21"/>
      <c r="O814" s="21"/>
      <c r="P814" s="21"/>
      <c r="Q814" s="21" t="s">
        <v>2338</v>
      </c>
      <c r="R814" s="21"/>
      <c r="S814" s="21" t="s">
        <v>2339</v>
      </c>
      <c r="T814" s="13">
        <v>1300</v>
      </c>
      <c r="U814" s="23">
        <v>44683</v>
      </c>
      <c r="V814" s="23">
        <v>44683</v>
      </c>
      <c r="W814" s="13">
        <v>1300</v>
      </c>
      <c r="X814" s="16"/>
      <c r="Z814" s="27"/>
    </row>
    <row r="815" spans="1:26" ht="75" x14ac:dyDescent="0.25">
      <c r="A815" s="28">
        <v>0</v>
      </c>
      <c r="B815" s="21">
        <v>80204250585</v>
      </c>
      <c r="C815" s="22" t="s">
        <v>48</v>
      </c>
      <c r="D815" s="22" t="s">
        <v>2398</v>
      </c>
      <c r="E815" s="22" t="s">
        <v>108</v>
      </c>
      <c r="F815" s="21"/>
      <c r="G815" s="16"/>
      <c r="H815" s="21"/>
      <c r="I815" s="21"/>
      <c r="J815" s="21" t="s">
        <v>2287</v>
      </c>
      <c r="K815" s="21"/>
      <c r="L815" s="22" t="s">
        <v>2288</v>
      </c>
      <c r="M815" s="21"/>
      <c r="O815" s="21"/>
      <c r="P815" s="21"/>
      <c r="Q815" s="21" t="s">
        <v>2287</v>
      </c>
      <c r="R815" s="21"/>
      <c r="S815" s="21" t="s">
        <v>2288</v>
      </c>
      <c r="T815" s="13">
        <v>330</v>
      </c>
      <c r="U815" s="23">
        <v>44746</v>
      </c>
      <c r="V815" s="23">
        <v>44747</v>
      </c>
      <c r="W815" s="13">
        <v>0</v>
      </c>
      <c r="X815" s="16"/>
      <c r="Z815" s="27"/>
    </row>
    <row r="816" spans="1:26" ht="90" x14ac:dyDescent="0.25">
      <c r="A816" s="28">
        <v>0</v>
      </c>
      <c r="B816" s="21" t="s">
        <v>468</v>
      </c>
      <c r="C816" s="22" t="s">
        <v>48</v>
      </c>
      <c r="D816" s="27" t="s">
        <v>2399</v>
      </c>
      <c r="E816" s="22" t="s">
        <v>108</v>
      </c>
      <c r="F816" s="21"/>
      <c r="G816" s="21"/>
      <c r="H816" s="21"/>
      <c r="I816" s="21"/>
      <c r="J816" s="21" t="s">
        <v>2374</v>
      </c>
      <c r="K816" s="21"/>
      <c r="L816" s="22" t="s">
        <v>2375</v>
      </c>
      <c r="M816" s="21"/>
      <c r="N816" s="21"/>
      <c r="O816" s="21"/>
      <c r="P816" s="21"/>
      <c r="Q816" s="21" t="s">
        <v>2374</v>
      </c>
      <c r="R816" s="21"/>
      <c r="S816" s="21" t="s">
        <v>2375</v>
      </c>
      <c r="T816" s="13">
        <v>300</v>
      </c>
      <c r="U816" s="23">
        <v>44742</v>
      </c>
      <c r="V816" s="23">
        <v>44742</v>
      </c>
      <c r="W816" s="13">
        <v>0</v>
      </c>
      <c r="X816" s="16"/>
      <c r="Z816" s="27"/>
    </row>
    <row r="817" spans="1:26" ht="45" x14ac:dyDescent="0.25">
      <c r="A817" s="28">
        <v>0</v>
      </c>
      <c r="B817" s="21">
        <v>80204250585</v>
      </c>
      <c r="C817" s="22" t="s">
        <v>48</v>
      </c>
      <c r="D817" s="27" t="s">
        <v>2400</v>
      </c>
      <c r="E817" s="22" t="s">
        <v>108</v>
      </c>
      <c r="F817" s="21"/>
      <c r="G817" s="16"/>
      <c r="H817" s="21"/>
      <c r="I817" s="21"/>
      <c r="J817" s="21" t="s">
        <v>2218</v>
      </c>
      <c r="K817" s="21"/>
      <c r="L817" s="22" t="s">
        <v>2219</v>
      </c>
      <c r="M817" s="21"/>
      <c r="O817" s="21"/>
      <c r="P817" s="21"/>
      <c r="Q817" s="21" t="s">
        <v>2218</v>
      </c>
      <c r="R817" s="21"/>
      <c r="S817" s="21" t="s">
        <v>2219</v>
      </c>
      <c r="T817" s="13">
        <v>250</v>
      </c>
      <c r="U817" s="23">
        <v>44743</v>
      </c>
      <c r="V817" s="23">
        <v>44743</v>
      </c>
      <c r="W817" s="13">
        <v>250</v>
      </c>
      <c r="X817" s="16"/>
      <c r="Z817" s="27"/>
    </row>
    <row r="818" spans="1:26" ht="105" x14ac:dyDescent="0.25">
      <c r="A818" s="28">
        <v>0</v>
      </c>
      <c r="B818" s="21">
        <v>80204250585</v>
      </c>
      <c r="C818" s="22" t="s">
        <v>48</v>
      </c>
      <c r="D818" s="27" t="s">
        <v>2401</v>
      </c>
      <c r="E818" s="22" t="s">
        <v>108</v>
      </c>
      <c r="F818" s="21"/>
      <c r="G818" s="16"/>
      <c r="H818" s="21"/>
      <c r="I818" s="21"/>
      <c r="J818" s="21" t="s">
        <v>2218</v>
      </c>
      <c r="K818" s="21"/>
      <c r="L818" s="22" t="s">
        <v>2219</v>
      </c>
      <c r="M818" s="21"/>
      <c r="O818" s="21"/>
      <c r="P818" s="21"/>
      <c r="Q818" s="21" t="s">
        <v>2218</v>
      </c>
      <c r="R818" s="21"/>
      <c r="S818" s="21" t="s">
        <v>2219</v>
      </c>
      <c r="T818" s="13">
        <v>250</v>
      </c>
      <c r="U818" s="23">
        <v>44750</v>
      </c>
      <c r="V818" s="23">
        <v>44750</v>
      </c>
      <c r="W818" s="13">
        <v>250</v>
      </c>
      <c r="X818" s="16"/>
      <c r="Z818" s="27"/>
    </row>
    <row r="819" spans="1:26" ht="120" x14ac:dyDescent="0.25">
      <c r="A819" s="28">
        <v>0</v>
      </c>
      <c r="B819" s="21">
        <v>80204250585</v>
      </c>
      <c r="C819" s="22" t="s">
        <v>48</v>
      </c>
      <c r="D819" s="27" t="s">
        <v>2402</v>
      </c>
      <c r="E819" s="22" t="s">
        <v>108</v>
      </c>
      <c r="F819" s="21"/>
      <c r="G819" s="16"/>
      <c r="H819" s="21"/>
      <c r="I819" s="21"/>
      <c r="J819" s="21" t="s">
        <v>2403</v>
      </c>
      <c r="K819" s="21"/>
      <c r="L819" s="22" t="s">
        <v>2404</v>
      </c>
      <c r="M819" s="21"/>
      <c r="O819" s="21"/>
      <c r="P819" s="21"/>
      <c r="Q819" s="21" t="s">
        <v>2403</v>
      </c>
      <c r="R819" s="21"/>
      <c r="S819" s="22" t="s">
        <v>2404</v>
      </c>
      <c r="T819" s="13">
        <v>28728</v>
      </c>
      <c r="U819" s="23">
        <v>44562</v>
      </c>
      <c r="V819" s="23">
        <v>44926</v>
      </c>
      <c r="W819" s="13">
        <v>0</v>
      </c>
      <c r="X819" s="16"/>
      <c r="Z819" s="27"/>
    </row>
    <row r="820" spans="1:26" ht="90" x14ac:dyDescent="0.25">
      <c r="A820" s="28">
        <v>0</v>
      </c>
      <c r="B820" s="21">
        <v>80204250585</v>
      </c>
      <c r="C820" s="22" t="s">
        <v>48</v>
      </c>
      <c r="D820" s="22" t="s">
        <v>2405</v>
      </c>
      <c r="E820" s="22" t="s">
        <v>108</v>
      </c>
      <c r="F820" s="21"/>
      <c r="G820" s="21"/>
      <c r="H820" s="21"/>
      <c r="I820" s="21"/>
      <c r="J820" s="21"/>
      <c r="K820" s="21"/>
      <c r="L820" s="22" t="s">
        <v>2362</v>
      </c>
      <c r="M820" s="21"/>
      <c r="N820" s="21"/>
      <c r="O820" s="21"/>
      <c r="P820" s="21"/>
      <c r="R820" s="21"/>
      <c r="S820" s="22" t="s">
        <v>2362</v>
      </c>
      <c r="T820" s="13">
        <v>650</v>
      </c>
      <c r="U820" s="23">
        <v>44734</v>
      </c>
      <c r="V820" s="23">
        <v>44736</v>
      </c>
      <c r="W820" s="13">
        <v>0</v>
      </c>
      <c r="X820" s="16"/>
      <c r="Z820" s="27"/>
    </row>
    <row r="821" spans="1:26" ht="60" x14ac:dyDescent="0.25">
      <c r="A821" s="28" t="s">
        <v>2406</v>
      </c>
      <c r="B821" s="21">
        <v>80204250585</v>
      </c>
      <c r="C821" s="22" t="s">
        <v>48</v>
      </c>
      <c r="D821" s="27" t="s">
        <v>2407</v>
      </c>
      <c r="E821" s="22" t="s">
        <v>108</v>
      </c>
      <c r="F821" s="21"/>
      <c r="G821" s="16"/>
      <c r="H821" s="21"/>
      <c r="I821" s="21"/>
      <c r="J821" s="21" t="s">
        <v>2408</v>
      </c>
      <c r="K821" s="21"/>
      <c r="L821" s="16" t="s">
        <v>2409</v>
      </c>
      <c r="M821" s="21"/>
      <c r="O821" s="21"/>
      <c r="P821" s="21"/>
      <c r="Q821" s="21" t="s">
        <v>2408</v>
      </c>
      <c r="R821" s="21"/>
      <c r="S821" s="27" t="s">
        <v>2409</v>
      </c>
      <c r="T821" s="13">
        <v>580</v>
      </c>
      <c r="U821" s="23">
        <v>44562</v>
      </c>
      <c r="V821" s="23">
        <v>44926</v>
      </c>
      <c r="W821" s="13">
        <v>580</v>
      </c>
      <c r="X821" s="16"/>
      <c r="Z821" s="27"/>
    </row>
    <row r="822" spans="1:26" ht="75" x14ac:dyDescent="0.25">
      <c r="A822" s="28">
        <v>0</v>
      </c>
      <c r="B822" s="21">
        <v>80204250585</v>
      </c>
      <c r="C822" s="22" t="s">
        <v>48</v>
      </c>
      <c r="D822" s="22" t="s">
        <v>2410</v>
      </c>
      <c r="E822" s="22" t="s">
        <v>108</v>
      </c>
      <c r="F822" s="21"/>
      <c r="G822" s="21"/>
      <c r="H822" s="21"/>
      <c r="I822" s="21"/>
      <c r="J822" s="21" t="s">
        <v>2411</v>
      </c>
      <c r="K822" s="21"/>
      <c r="L822" s="87" t="s">
        <v>2412</v>
      </c>
      <c r="M822" s="21"/>
      <c r="N822" s="21"/>
      <c r="O822" s="21"/>
      <c r="P822" s="21"/>
      <c r="Q822" s="21" t="s">
        <v>2411</v>
      </c>
      <c r="R822" s="21"/>
      <c r="S822" s="87" t="s">
        <v>2412</v>
      </c>
      <c r="T822" s="13">
        <v>450</v>
      </c>
      <c r="U822" s="23">
        <v>44882</v>
      </c>
      <c r="V822" s="23">
        <v>44883</v>
      </c>
      <c r="W822" s="13">
        <v>450</v>
      </c>
      <c r="X822" s="16"/>
      <c r="Z822" s="27"/>
    </row>
    <row r="823" spans="1:26" ht="75" x14ac:dyDescent="0.25">
      <c r="A823" s="28">
        <v>0</v>
      </c>
      <c r="B823" s="21">
        <v>80204250585</v>
      </c>
      <c r="C823" s="22" t="s">
        <v>48</v>
      </c>
      <c r="D823" s="22" t="s">
        <v>2413</v>
      </c>
      <c r="E823" s="22" t="s">
        <v>108</v>
      </c>
      <c r="F823" s="21"/>
      <c r="G823" s="21"/>
      <c r="H823" s="21"/>
      <c r="I823" s="21"/>
      <c r="J823" s="21" t="s">
        <v>2236</v>
      </c>
      <c r="K823" s="21"/>
      <c r="L823" s="87" t="s">
        <v>2237</v>
      </c>
      <c r="M823" s="16"/>
      <c r="O823" s="21"/>
      <c r="P823" s="21"/>
      <c r="Q823" s="21" t="s">
        <v>2236</v>
      </c>
      <c r="R823" s="21"/>
      <c r="S823" s="88" t="s">
        <v>2237</v>
      </c>
      <c r="T823" s="13">
        <v>621</v>
      </c>
      <c r="U823" s="23">
        <v>44826</v>
      </c>
      <c r="V823" s="23">
        <v>44826</v>
      </c>
      <c r="W823" s="13">
        <v>621</v>
      </c>
      <c r="X823" s="16"/>
      <c r="Z823" s="27"/>
    </row>
    <row r="824" spans="1:26" ht="75" x14ac:dyDescent="0.25">
      <c r="A824" s="28">
        <v>0</v>
      </c>
      <c r="B824" s="21">
        <v>80204250585</v>
      </c>
      <c r="C824" s="22" t="s">
        <v>48</v>
      </c>
      <c r="D824" s="22" t="s">
        <v>2413</v>
      </c>
      <c r="E824" s="22" t="s">
        <v>108</v>
      </c>
      <c r="F824" s="21"/>
      <c r="G824" s="21"/>
      <c r="H824" s="21"/>
      <c r="I824" s="21"/>
      <c r="J824" s="21" t="s">
        <v>2236</v>
      </c>
      <c r="K824" s="21"/>
      <c r="L824" s="87" t="s">
        <v>2237</v>
      </c>
      <c r="M824" s="16"/>
      <c r="O824" s="21"/>
      <c r="P824" s="21"/>
      <c r="Q824" s="21" t="s">
        <v>2236</v>
      </c>
      <c r="R824" s="21"/>
      <c r="S824" s="88" t="s">
        <v>2237</v>
      </c>
      <c r="T824" s="13">
        <v>621</v>
      </c>
      <c r="U824" s="23">
        <v>44826</v>
      </c>
      <c r="V824" s="23">
        <v>44826</v>
      </c>
      <c r="W824" s="13">
        <v>621</v>
      </c>
      <c r="X824" s="16"/>
      <c r="Z824" s="27"/>
    </row>
    <row r="825" spans="1:26" ht="90" x14ac:dyDescent="0.25">
      <c r="A825" s="28" t="s">
        <v>2414</v>
      </c>
      <c r="B825" s="21">
        <v>80204250585</v>
      </c>
      <c r="C825" s="22" t="s">
        <v>48</v>
      </c>
      <c r="D825" s="22" t="s">
        <v>2415</v>
      </c>
      <c r="E825" s="22" t="s">
        <v>108</v>
      </c>
      <c r="F825" s="21"/>
      <c r="G825" s="21"/>
      <c r="H825" s="21"/>
      <c r="I825" s="21"/>
      <c r="J825" s="21" t="s">
        <v>2416</v>
      </c>
      <c r="K825" s="21"/>
      <c r="L825" s="87" t="s">
        <v>2417</v>
      </c>
      <c r="M825" s="16"/>
      <c r="O825" s="21"/>
      <c r="P825" s="21"/>
      <c r="Q825" s="21" t="s">
        <v>2416</v>
      </c>
      <c r="R825" s="21"/>
      <c r="S825" s="87" t="s">
        <v>2417</v>
      </c>
      <c r="T825" s="13">
        <v>1268.8</v>
      </c>
      <c r="U825" s="23">
        <v>44882</v>
      </c>
      <c r="V825" s="23">
        <v>44882</v>
      </c>
      <c r="W825" s="13">
        <v>1268.8</v>
      </c>
      <c r="X825" s="16"/>
      <c r="Z825" s="27"/>
    </row>
    <row r="826" spans="1:26" ht="45" x14ac:dyDescent="0.25">
      <c r="A826" s="28">
        <v>0</v>
      </c>
      <c r="B826" s="21">
        <v>80204250585</v>
      </c>
      <c r="C826" s="22" t="s">
        <v>48</v>
      </c>
      <c r="D826" s="22" t="s">
        <v>2418</v>
      </c>
      <c r="E826" s="22" t="s">
        <v>108</v>
      </c>
      <c r="F826" s="21"/>
      <c r="G826" s="16"/>
      <c r="H826" s="21"/>
      <c r="I826" s="21"/>
      <c r="J826" s="21" t="s">
        <v>2342</v>
      </c>
      <c r="K826" s="21"/>
      <c r="L826" s="22" t="s">
        <v>2343</v>
      </c>
      <c r="M826" s="16"/>
      <c r="O826" s="21"/>
      <c r="P826" s="21"/>
      <c r="Q826" s="21" t="s">
        <v>2342</v>
      </c>
      <c r="R826" s="21"/>
      <c r="S826" s="21" t="s">
        <v>2343</v>
      </c>
      <c r="T826" s="13">
        <v>880</v>
      </c>
      <c r="U826" s="23">
        <v>44832</v>
      </c>
      <c r="V826" s="23">
        <v>44832</v>
      </c>
      <c r="W826" s="13">
        <v>880</v>
      </c>
      <c r="X826" s="16"/>
      <c r="Z826" s="27"/>
    </row>
    <row r="827" spans="1:26" ht="60" x14ac:dyDescent="0.25">
      <c r="A827" s="28" t="s">
        <v>2419</v>
      </c>
      <c r="B827" s="21">
        <v>80204250585</v>
      </c>
      <c r="C827" s="22" t="s">
        <v>48</v>
      </c>
      <c r="D827" s="22" t="s">
        <v>2420</v>
      </c>
      <c r="E827" s="22" t="s">
        <v>108</v>
      </c>
      <c r="F827" s="21"/>
      <c r="G827" s="16"/>
      <c r="H827" s="21"/>
      <c r="I827" s="21"/>
      <c r="J827" s="21" t="s">
        <v>2272</v>
      </c>
      <c r="K827" s="21"/>
      <c r="L827" s="22" t="s">
        <v>2273</v>
      </c>
      <c r="M827" s="16"/>
      <c r="O827" s="21"/>
      <c r="P827" s="21"/>
      <c r="Q827" s="21" t="s">
        <v>2272</v>
      </c>
      <c r="R827" s="21"/>
      <c r="S827" s="21" t="s">
        <v>2273</v>
      </c>
      <c r="T827" s="13">
        <v>1440</v>
      </c>
      <c r="U827" s="89">
        <v>44562</v>
      </c>
      <c r="V827" s="89">
        <v>44926</v>
      </c>
      <c r="W827" s="13">
        <v>1440</v>
      </c>
      <c r="X827" s="16"/>
      <c r="Z827" s="27"/>
    </row>
    <row r="828" spans="1:26" ht="90" x14ac:dyDescent="0.25">
      <c r="A828" s="28">
        <v>0</v>
      </c>
      <c r="B828" s="21">
        <v>80204250585</v>
      </c>
      <c r="C828" s="22" t="s">
        <v>48</v>
      </c>
      <c r="D828" s="22" t="s">
        <v>2421</v>
      </c>
      <c r="E828" s="22" t="s">
        <v>108</v>
      </c>
      <c r="F828" s="21"/>
      <c r="G828" s="16"/>
      <c r="H828" s="21"/>
      <c r="I828" s="21"/>
      <c r="J828" s="21" t="s">
        <v>2218</v>
      </c>
      <c r="K828" s="21"/>
      <c r="L828" s="22" t="s">
        <v>2219</v>
      </c>
      <c r="M828" s="16"/>
      <c r="O828" s="21"/>
      <c r="P828" s="21"/>
      <c r="Q828" s="21" t="s">
        <v>2218</v>
      </c>
      <c r="R828" s="21"/>
      <c r="S828" s="21" t="s">
        <v>2219</v>
      </c>
      <c r="T828" s="13">
        <v>750</v>
      </c>
      <c r="U828" s="23">
        <v>44825</v>
      </c>
      <c r="V828" s="23">
        <v>44826</v>
      </c>
      <c r="W828" s="13">
        <v>750</v>
      </c>
      <c r="X828" s="16"/>
      <c r="Z828" s="27"/>
    </row>
    <row r="829" spans="1:26" ht="90" x14ac:dyDescent="0.25">
      <c r="A829" s="28">
        <v>0</v>
      </c>
      <c r="B829" s="21">
        <v>80204250585</v>
      </c>
      <c r="C829" s="22" t="s">
        <v>48</v>
      </c>
      <c r="D829" s="22" t="s">
        <v>2422</v>
      </c>
      <c r="E829" s="22" t="s">
        <v>108</v>
      </c>
      <c r="F829" s="21"/>
      <c r="G829" s="21"/>
      <c r="H829" s="21"/>
      <c r="I829" s="21"/>
      <c r="J829" s="21" t="s">
        <v>2236</v>
      </c>
      <c r="K829" s="21"/>
      <c r="L829" s="87" t="s">
        <v>2237</v>
      </c>
      <c r="M829" s="16"/>
      <c r="O829" s="21"/>
      <c r="P829" s="21"/>
      <c r="Q829" s="21" t="s">
        <v>2236</v>
      </c>
      <c r="R829" s="21"/>
      <c r="S829" s="88" t="s">
        <v>2237</v>
      </c>
      <c r="T829" s="13">
        <v>720</v>
      </c>
      <c r="U829" s="23">
        <v>44846</v>
      </c>
      <c r="V829" s="23">
        <v>44846</v>
      </c>
      <c r="W829" s="13">
        <v>720</v>
      </c>
      <c r="X829" s="16"/>
      <c r="Z829" s="27"/>
    </row>
    <row r="830" spans="1:26" ht="90" x14ac:dyDescent="0.25">
      <c r="A830" s="28">
        <v>0</v>
      </c>
      <c r="B830" s="21">
        <v>80204250585</v>
      </c>
      <c r="C830" s="22" t="s">
        <v>48</v>
      </c>
      <c r="D830" s="22" t="s">
        <v>2422</v>
      </c>
      <c r="E830" s="22" t="s">
        <v>108</v>
      </c>
      <c r="F830" s="21"/>
      <c r="G830" s="21"/>
      <c r="H830" s="21"/>
      <c r="I830" s="21"/>
      <c r="J830" s="21" t="s">
        <v>2236</v>
      </c>
      <c r="K830" s="21"/>
      <c r="L830" s="87" t="s">
        <v>2237</v>
      </c>
      <c r="M830" s="16"/>
      <c r="O830" s="21"/>
      <c r="P830" s="21"/>
      <c r="Q830" s="21" t="s">
        <v>2236</v>
      </c>
      <c r="R830" s="21"/>
      <c r="S830" s="88" t="s">
        <v>2237</v>
      </c>
      <c r="T830" s="13">
        <v>720</v>
      </c>
      <c r="U830" s="23">
        <v>44846</v>
      </c>
      <c r="V830" s="23">
        <v>44846</v>
      </c>
      <c r="W830" s="13">
        <v>720</v>
      </c>
      <c r="X830" s="16"/>
      <c r="Z830" s="27"/>
    </row>
    <row r="831" spans="1:26" ht="75" x14ac:dyDescent="0.25">
      <c r="A831" s="28">
        <v>0</v>
      </c>
      <c r="B831" s="21">
        <v>80204250585</v>
      </c>
      <c r="C831" s="22" t="s">
        <v>48</v>
      </c>
      <c r="D831" s="22" t="s">
        <v>2423</v>
      </c>
      <c r="E831" s="22" t="s">
        <v>108</v>
      </c>
      <c r="F831" s="21"/>
      <c r="G831" s="16"/>
      <c r="H831" s="21"/>
      <c r="I831" s="21"/>
      <c r="J831" s="21" t="s">
        <v>2268</v>
      </c>
      <c r="K831" s="21"/>
      <c r="L831" s="27" t="s">
        <v>2269</v>
      </c>
      <c r="M831" s="16"/>
      <c r="O831" s="21"/>
      <c r="P831" s="21"/>
      <c r="Q831" s="21" t="s">
        <v>2268</v>
      </c>
      <c r="R831" s="21"/>
      <c r="S831" s="27" t="s">
        <v>2269</v>
      </c>
      <c r="T831" s="13">
        <v>230</v>
      </c>
      <c r="U831" s="23">
        <v>44820</v>
      </c>
      <c r="V831" s="23">
        <v>44827</v>
      </c>
      <c r="W831" s="13">
        <v>230</v>
      </c>
      <c r="X831" s="16"/>
      <c r="Z831" s="27"/>
    </row>
    <row r="832" spans="1:26" ht="45" x14ac:dyDescent="0.25">
      <c r="A832" s="28">
        <v>0</v>
      </c>
      <c r="B832" s="21">
        <v>80204250585</v>
      </c>
      <c r="C832" s="22" t="s">
        <v>48</v>
      </c>
      <c r="D832" s="22" t="s">
        <v>2424</v>
      </c>
      <c r="E832" s="22" t="s">
        <v>108</v>
      </c>
      <c r="F832" s="21"/>
      <c r="G832" s="16"/>
      <c r="H832" s="21"/>
      <c r="I832" s="21"/>
      <c r="J832" s="21" t="s">
        <v>2312</v>
      </c>
      <c r="K832" s="21"/>
      <c r="L832" s="22" t="s">
        <v>2313</v>
      </c>
      <c r="M832" s="16"/>
      <c r="O832" s="21"/>
      <c r="P832" s="21"/>
      <c r="Q832" s="21" t="s">
        <v>2312</v>
      </c>
      <c r="R832" s="21"/>
      <c r="S832" s="21" t="s">
        <v>2313</v>
      </c>
      <c r="T832" s="13">
        <v>790</v>
      </c>
      <c r="U832" s="23">
        <v>44837</v>
      </c>
      <c r="V832" s="23">
        <v>44837</v>
      </c>
      <c r="W832" s="13">
        <v>790</v>
      </c>
      <c r="X832" s="16"/>
      <c r="Z832" s="27"/>
    </row>
    <row r="833" spans="1:26" ht="60" x14ac:dyDescent="0.25">
      <c r="A833" s="28">
        <v>0</v>
      </c>
      <c r="B833" s="21">
        <v>80204250585</v>
      </c>
      <c r="C833" s="22" t="s">
        <v>48</v>
      </c>
      <c r="D833" s="22" t="s">
        <v>2425</v>
      </c>
      <c r="E833" s="22" t="s">
        <v>108</v>
      </c>
      <c r="F833" s="21"/>
      <c r="G833" s="16"/>
      <c r="H833" s="21"/>
      <c r="I833" s="21"/>
      <c r="J833" s="21" t="s">
        <v>2426</v>
      </c>
      <c r="K833" s="21"/>
      <c r="L833" s="21" t="s">
        <v>2427</v>
      </c>
      <c r="M833" s="16"/>
      <c r="O833" s="21"/>
      <c r="P833" s="21"/>
      <c r="Q833" s="21" t="s">
        <v>2426</v>
      </c>
      <c r="R833" s="21"/>
      <c r="S833" s="22" t="s">
        <v>2427</v>
      </c>
      <c r="T833" s="13">
        <v>240</v>
      </c>
      <c r="U833" s="23">
        <v>44853</v>
      </c>
      <c r="V833" s="23">
        <v>44853</v>
      </c>
      <c r="W833" s="13">
        <v>240</v>
      </c>
      <c r="X833" s="16"/>
      <c r="Z833" s="27"/>
    </row>
    <row r="834" spans="1:26" ht="45" x14ac:dyDescent="0.25">
      <c r="A834" s="28">
        <v>0</v>
      </c>
      <c r="B834" s="21">
        <v>80204250585</v>
      </c>
      <c r="C834" s="22" t="s">
        <v>48</v>
      </c>
      <c r="D834" s="22" t="s">
        <v>2428</v>
      </c>
      <c r="E834" s="22" t="s">
        <v>108</v>
      </c>
      <c r="F834" s="21"/>
      <c r="G834" s="16"/>
      <c r="H834" s="21"/>
      <c r="I834" s="21"/>
      <c r="J834" s="21" t="s">
        <v>2426</v>
      </c>
      <c r="K834" s="21"/>
      <c r="L834" s="21" t="s">
        <v>2427</v>
      </c>
      <c r="M834" s="16"/>
      <c r="O834" s="21"/>
      <c r="P834" s="21"/>
      <c r="Q834" s="21" t="s">
        <v>2426</v>
      </c>
      <c r="R834" s="21"/>
      <c r="S834" s="22" t="s">
        <v>2427</v>
      </c>
      <c r="T834" s="13">
        <v>285</v>
      </c>
      <c r="U834" s="23">
        <v>44839</v>
      </c>
      <c r="V834" s="23">
        <v>44839</v>
      </c>
      <c r="W834" s="13">
        <v>0</v>
      </c>
      <c r="X834" s="16"/>
      <c r="Z834" s="27"/>
    </row>
    <row r="835" spans="1:26" ht="90" x14ac:dyDescent="0.25">
      <c r="A835" s="28">
        <v>0</v>
      </c>
      <c r="B835" s="21">
        <v>80204250585</v>
      </c>
      <c r="C835" s="22" t="s">
        <v>48</v>
      </c>
      <c r="D835" s="22" t="s">
        <v>2429</v>
      </c>
      <c r="E835" s="22" t="s">
        <v>108</v>
      </c>
      <c r="F835" s="21"/>
      <c r="G835" s="16"/>
      <c r="H835" s="21"/>
      <c r="I835" s="21"/>
      <c r="J835" s="21" t="s">
        <v>2342</v>
      </c>
      <c r="K835" s="21"/>
      <c r="L835" s="22" t="s">
        <v>2343</v>
      </c>
      <c r="M835" s="16"/>
      <c r="O835" s="21"/>
      <c r="P835" s="21"/>
      <c r="Q835" s="21" t="s">
        <v>2342</v>
      </c>
      <c r="R835" s="21"/>
      <c r="S835" s="21" t="s">
        <v>2343</v>
      </c>
      <c r="T835" s="13">
        <v>9990</v>
      </c>
      <c r="U835" s="23">
        <v>44840</v>
      </c>
      <c r="V835" s="23">
        <v>44841</v>
      </c>
      <c r="W835" s="13">
        <v>9990</v>
      </c>
      <c r="X835" s="16"/>
      <c r="Z835" s="27"/>
    </row>
    <row r="836" spans="1:26" ht="60" x14ac:dyDescent="0.25">
      <c r="A836" s="28" t="s">
        <v>2430</v>
      </c>
      <c r="B836" s="21">
        <v>80204250585</v>
      </c>
      <c r="C836" s="22" t="s">
        <v>48</v>
      </c>
      <c r="D836" s="22" t="s">
        <v>2431</v>
      </c>
      <c r="E836" s="22" t="s">
        <v>108</v>
      </c>
      <c r="F836" s="21"/>
      <c r="G836" s="16"/>
      <c r="H836" s="21"/>
      <c r="I836" s="21"/>
      <c r="J836" s="21" t="s">
        <v>2432</v>
      </c>
      <c r="K836" s="21"/>
      <c r="L836" s="21" t="s">
        <v>2433</v>
      </c>
      <c r="M836" s="16"/>
      <c r="O836" s="21"/>
      <c r="P836" s="21"/>
      <c r="Q836" s="21" t="s">
        <v>2432</v>
      </c>
      <c r="R836" s="21"/>
      <c r="S836" s="21" t="s">
        <v>2433</v>
      </c>
      <c r="T836" s="13">
        <v>2430</v>
      </c>
      <c r="U836" s="23">
        <v>44562</v>
      </c>
      <c r="V836" s="23">
        <v>45291</v>
      </c>
      <c r="W836" s="13">
        <v>2269.21</v>
      </c>
      <c r="X836" s="16"/>
      <c r="Z836" s="27"/>
    </row>
    <row r="837" spans="1:26" ht="45" x14ac:dyDescent="0.25">
      <c r="A837" s="28">
        <v>0</v>
      </c>
      <c r="B837" s="21">
        <v>80204250585</v>
      </c>
      <c r="C837" s="22" t="s">
        <v>48</v>
      </c>
      <c r="D837" s="22" t="s">
        <v>2434</v>
      </c>
      <c r="E837" s="22" t="s">
        <v>108</v>
      </c>
      <c r="F837" s="21"/>
      <c r="G837" s="16"/>
      <c r="H837" s="21"/>
      <c r="I837" s="21"/>
      <c r="J837" s="21" t="s">
        <v>2324</v>
      </c>
      <c r="K837" s="21"/>
      <c r="L837" s="22" t="s">
        <v>2325</v>
      </c>
      <c r="M837" s="16"/>
      <c r="O837" s="21"/>
      <c r="P837" s="21"/>
      <c r="Q837" s="21" t="s">
        <v>2324</v>
      </c>
      <c r="R837" s="21"/>
      <c r="S837" s="21" t="s">
        <v>2325</v>
      </c>
      <c r="T837" s="13">
        <v>600</v>
      </c>
      <c r="U837" s="23">
        <v>44834</v>
      </c>
      <c r="V837" s="23">
        <v>44834</v>
      </c>
      <c r="W837" s="13">
        <v>600</v>
      </c>
      <c r="X837" s="16"/>
      <c r="Z837" s="27"/>
    </row>
    <row r="838" spans="1:26" ht="75" x14ac:dyDescent="0.25">
      <c r="A838" s="28">
        <v>0</v>
      </c>
      <c r="B838" s="21">
        <v>80204250585</v>
      </c>
      <c r="C838" s="22" t="s">
        <v>48</v>
      </c>
      <c r="D838" s="22" t="s">
        <v>2435</v>
      </c>
      <c r="E838" s="22" t="s">
        <v>108</v>
      </c>
      <c r="F838" s="21"/>
      <c r="G838" s="16"/>
      <c r="H838" s="21"/>
      <c r="I838" s="21"/>
      <c r="J838" s="21" t="s">
        <v>2342</v>
      </c>
      <c r="K838" s="21"/>
      <c r="L838" s="22" t="s">
        <v>2343</v>
      </c>
      <c r="M838" s="16"/>
      <c r="O838" s="21"/>
      <c r="P838" s="21"/>
      <c r="Q838" s="21" t="s">
        <v>2342</v>
      </c>
      <c r="R838" s="21"/>
      <c r="S838" s="21" t="s">
        <v>2343</v>
      </c>
      <c r="T838" s="13">
        <v>650</v>
      </c>
      <c r="U838" s="23">
        <v>44846</v>
      </c>
      <c r="V838" s="23">
        <v>44846</v>
      </c>
      <c r="W838" s="13">
        <v>520</v>
      </c>
      <c r="X838" s="16"/>
      <c r="Z838" s="27"/>
    </row>
    <row r="839" spans="1:26" ht="75" x14ac:dyDescent="0.25">
      <c r="A839" s="28">
        <v>0</v>
      </c>
      <c r="B839" s="21">
        <v>80204250585</v>
      </c>
      <c r="C839" s="22" t="s">
        <v>48</v>
      </c>
      <c r="D839" s="22" t="s">
        <v>2436</v>
      </c>
      <c r="E839" s="22" t="s">
        <v>108</v>
      </c>
      <c r="F839" s="21"/>
      <c r="G839" s="16"/>
      <c r="H839" s="21"/>
      <c r="I839" s="21"/>
      <c r="J839" s="21" t="s">
        <v>2268</v>
      </c>
      <c r="K839" s="21"/>
      <c r="L839" s="27" t="s">
        <v>2269</v>
      </c>
      <c r="M839" s="16"/>
      <c r="O839" s="21"/>
      <c r="P839" s="21"/>
      <c r="Q839" s="21" t="s">
        <v>2268</v>
      </c>
      <c r="R839" s="21"/>
      <c r="S839" s="27" t="s">
        <v>2269</v>
      </c>
      <c r="T839" s="13">
        <v>310</v>
      </c>
      <c r="U839" s="23">
        <v>44834</v>
      </c>
      <c r="V839" s="23">
        <v>44848</v>
      </c>
      <c r="W839" s="13">
        <v>310</v>
      </c>
      <c r="X839" s="16"/>
      <c r="Z839" s="27"/>
    </row>
    <row r="840" spans="1:26" ht="105" x14ac:dyDescent="0.25">
      <c r="A840" s="28">
        <v>0</v>
      </c>
      <c r="B840" s="21">
        <v>80204250585</v>
      </c>
      <c r="C840" s="22" t="s">
        <v>48</v>
      </c>
      <c r="D840" s="27" t="s">
        <v>2437</v>
      </c>
      <c r="E840" s="22" t="s">
        <v>108</v>
      </c>
      <c r="F840" s="21"/>
      <c r="G840" s="16"/>
      <c r="H840" s="21"/>
      <c r="I840" s="21"/>
      <c r="J840" s="21" t="s">
        <v>2308</v>
      </c>
      <c r="K840" s="21"/>
      <c r="L840" s="22" t="s">
        <v>2309</v>
      </c>
      <c r="M840" s="21"/>
      <c r="O840" s="21"/>
      <c r="P840" s="21"/>
      <c r="Q840" s="21" t="s">
        <v>2308</v>
      </c>
      <c r="R840" s="21"/>
      <c r="S840" s="21" t="s">
        <v>2309</v>
      </c>
      <c r="T840" s="13">
        <v>320</v>
      </c>
      <c r="U840" s="23">
        <v>44845</v>
      </c>
      <c r="V840" s="23">
        <v>44845</v>
      </c>
      <c r="W840" s="13">
        <v>320</v>
      </c>
      <c r="X840" s="16"/>
      <c r="Z840" s="27"/>
    </row>
    <row r="841" spans="1:26" ht="105" x14ac:dyDescent="0.25">
      <c r="A841" s="28">
        <v>0</v>
      </c>
      <c r="B841" s="21">
        <v>80204250585</v>
      </c>
      <c r="C841" s="22" t="s">
        <v>48</v>
      </c>
      <c r="D841" s="27" t="s">
        <v>2437</v>
      </c>
      <c r="E841" s="22" t="s">
        <v>108</v>
      </c>
      <c r="F841" s="21"/>
      <c r="G841" s="16"/>
      <c r="H841" s="21"/>
      <c r="I841" s="21"/>
      <c r="J841" s="21" t="s">
        <v>2308</v>
      </c>
      <c r="K841" s="21"/>
      <c r="L841" s="22" t="s">
        <v>2309</v>
      </c>
      <c r="M841" s="21"/>
      <c r="O841" s="21"/>
      <c r="P841" s="21"/>
      <c r="Q841" s="21" t="s">
        <v>2308</v>
      </c>
      <c r="R841" s="21"/>
      <c r="S841" s="21" t="s">
        <v>2309</v>
      </c>
      <c r="T841" s="13">
        <v>320</v>
      </c>
      <c r="U841" s="23">
        <v>44845</v>
      </c>
      <c r="V841" s="23">
        <v>44845</v>
      </c>
      <c r="W841" s="13">
        <v>320</v>
      </c>
      <c r="X841" s="16"/>
      <c r="Z841" s="27"/>
    </row>
    <row r="842" spans="1:26" ht="105" x14ac:dyDescent="0.25">
      <c r="A842" s="28">
        <v>0</v>
      </c>
      <c r="B842" s="21">
        <v>80204250585</v>
      </c>
      <c r="C842" s="22" t="s">
        <v>48</v>
      </c>
      <c r="D842" s="27" t="s">
        <v>2437</v>
      </c>
      <c r="E842" s="22" t="s">
        <v>108</v>
      </c>
      <c r="F842" s="21"/>
      <c r="G842" s="16"/>
      <c r="H842" s="21"/>
      <c r="I842" s="21"/>
      <c r="J842" s="21" t="s">
        <v>2308</v>
      </c>
      <c r="K842" s="21"/>
      <c r="L842" s="22" t="s">
        <v>2309</v>
      </c>
      <c r="M842" s="21"/>
      <c r="O842" s="21"/>
      <c r="P842" s="21"/>
      <c r="Q842" s="21" t="s">
        <v>2308</v>
      </c>
      <c r="R842" s="21"/>
      <c r="S842" s="21" t="s">
        <v>2309</v>
      </c>
      <c r="T842" s="13">
        <v>320</v>
      </c>
      <c r="U842" s="23">
        <v>44845</v>
      </c>
      <c r="V842" s="23">
        <v>44845</v>
      </c>
      <c r="W842" s="13">
        <v>320</v>
      </c>
      <c r="X842" s="16"/>
      <c r="Z842" s="27"/>
    </row>
    <row r="843" spans="1:26" ht="60" x14ac:dyDescent="0.25">
      <c r="A843" s="28">
        <v>0</v>
      </c>
      <c r="B843" s="21">
        <v>80204250585</v>
      </c>
      <c r="C843" s="22" t="s">
        <v>48</v>
      </c>
      <c r="D843" s="22" t="s">
        <v>2438</v>
      </c>
      <c r="E843" s="22" t="s">
        <v>108</v>
      </c>
      <c r="F843" s="21"/>
      <c r="G843" s="16"/>
      <c r="H843" s="21"/>
      <c r="I843" s="21"/>
      <c r="J843" s="21" t="s">
        <v>2262</v>
      </c>
      <c r="K843" s="21"/>
      <c r="L843" s="22" t="s">
        <v>2263</v>
      </c>
      <c r="M843" s="21"/>
      <c r="N843" s="21"/>
      <c r="O843" s="21"/>
      <c r="P843" s="21"/>
      <c r="Q843" s="21" t="s">
        <v>2262</v>
      </c>
      <c r="R843" s="21"/>
      <c r="S843" s="22" t="s">
        <v>2263</v>
      </c>
      <c r="T843" s="13">
        <v>14550</v>
      </c>
      <c r="U843" s="23">
        <v>44835</v>
      </c>
      <c r="V843" s="23">
        <v>45017</v>
      </c>
      <c r="W843" s="13">
        <v>13500</v>
      </c>
      <c r="X843" s="16"/>
      <c r="Z843" s="27"/>
    </row>
    <row r="844" spans="1:26" ht="75" x14ac:dyDescent="0.25">
      <c r="A844" s="28">
        <v>0</v>
      </c>
      <c r="B844" s="21">
        <v>80204250585</v>
      </c>
      <c r="C844" s="22" t="s">
        <v>48</v>
      </c>
      <c r="D844" s="22" t="s">
        <v>2435</v>
      </c>
      <c r="E844" s="22" t="s">
        <v>108</v>
      </c>
      <c r="F844" s="21"/>
      <c r="G844" s="16"/>
      <c r="H844" s="21"/>
      <c r="I844" s="21"/>
      <c r="J844" s="21" t="s">
        <v>2342</v>
      </c>
      <c r="K844" s="21"/>
      <c r="L844" s="22" t="s">
        <v>2343</v>
      </c>
      <c r="M844" s="21"/>
      <c r="O844" s="21"/>
      <c r="P844" s="21"/>
      <c r="Q844" s="21" t="s">
        <v>2342</v>
      </c>
      <c r="R844" s="21"/>
      <c r="S844" s="21" t="s">
        <v>2343</v>
      </c>
      <c r="T844" s="13">
        <v>520</v>
      </c>
      <c r="U844" s="23">
        <v>44846</v>
      </c>
      <c r="V844" s="23">
        <v>44846</v>
      </c>
      <c r="W844" s="13">
        <v>520</v>
      </c>
      <c r="X844" s="16"/>
      <c r="Z844" s="27"/>
    </row>
    <row r="845" spans="1:26" ht="75" x14ac:dyDescent="0.25">
      <c r="A845" s="28">
        <v>0</v>
      </c>
      <c r="B845" s="21">
        <v>80204250585</v>
      </c>
      <c r="C845" s="22" t="s">
        <v>48</v>
      </c>
      <c r="D845" s="22" t="s">
        <v>2435</v>
      </c>
      <c r="E845" s="22" t="s">
        <v>108</v>
      </c>
      <c r="F845" s="21"/>
      <c r="G845" s="16"/>
      <c r="H845" s="21"/>
      <c r="I845" s="21"/>
      <c r="J845" s="21" t="s">
        <v>2342</v>
      </c>
      <c r="K845" s="21"/>
      <c r="L845" s="22" t="s">
        <v>2343</v>
      </c>
      <c r="M845" s="21"/>
      <c r="O845" s="21"/>
      <c r="P845" s="21"/>
      <c r="Q845" s="21" t="s">
        <v>2342</v>
      </c>
      <c r="R845" s="21"/>
      <c r="S845" s="21" t="s">
        <v>2343</v>
      </c>
      <c r="T845" s="13">
        <v>520</v>
      </c>
      <c r="U845" s="23">
        <v>44846</v>
      </c>
      <c r="V845" s="23">
        <v>44846</v>
      </c>
      <c r="W845" s="13">
        <v>520</v>
      </c>
      <c r="X845" s="16"/>
      <c r="Z845" s="27"/>
    </row>
    <row r="846" spans="1:26" ht="225" x14ac:dyDescent="0.25">
      <c r="A846" s="28">
        <v>0</v>
      </c>
      <c r="B846" s="21">
        <v>80204250585</v>
      </c>
      <c r="C846" s="22" t="s">
        <v>48</v>
      </c>
      <c r="D846" s="22" t="s">
        <v>2439</v>
      </c>
      <c r="E846" s="22" t="s">
        <v>108</v>
      </c>
      <c r="F846" s="21"/>
      <c r="G846" s="16"/>
      <c r="H846" s="21"/>
      <c r="I846" s="21"/>
      <c r="J846" s="21" t="s">
        <v>2440</v>
      </c>
      <c r="K846" s="21"/>
      <c r="L846" s="22" t="s">
        <v>2441</v>
      </c>
      <c r="M846" s="21"/>
      <c r="O846" s="21"/>
      <c r="P846" s="21"/>
      <c r="Q846" s="21" t="s">
        <v>2440</v>
      </c>
      <c r="R846" s="21"/>
      <c r="S846" s="21" t="s">
        <v>2441</v>
      </c>
      <c r="T846" s="13">
        <v>360</v>
      </c>
      <c r="U846" s="23">
        <v>44848</v>
      </c>
      <c r="V846" s="23">
        <v>44848</v>
      </c>
      <c r="W846" s="13">
        <v>360</v>
      </c>
      <c r="X846" s="16"/>
      <c r="Z846" s="27"/>
    </row>
    <row r="847" spans="1:26" ht="45" x14ac:dyDescent="0.25">
      <c r="A847" s="28">
        <v>0</v>
      </c>
      <c r="B847" s="21">
        <v>80204250585</v>
      </c>
      <c r="C847" s="22" t="s">
        <v>48</v>
      </c>
      <c r="D847" s="22" t="s">
        <v>2442</v>
      </c>
      <c r="E847" s="22" t="s">
        <v>108</v>
      </c>
      <c r="F847" s="21"/>
      <c r="G847" s="16"/>
      <c r="H847" s="21"/>
      <c r="I847" s="21"/>
      <c r="J847" s="21" t="s">
        <v>2342</v>
      </c>
      <c r="K847" s="21"/>
      <c r="L847" s="22" t="s">
        <v>2343</v>
      </c>
      <c r="M847" s="21"/>
      <c r="O847" s="21"/>
      <c r="P847" s="21"/>
      <c r="Q847" s="21" t="s">
        <v>2342</v>
      </c>
      <c r="R847" s="21"/>
      <c r="S847" s="21" t="s">
        <v>2343</v>
      </c>
      <c r="T847" s="13">
        <v>770</v>
      </c>
      <c r="U847" s="23">
        <v>44874</v>
      </c>
      <c r="V847" s="23">
        <v>44874</v>
      </c>
      <c r="W847" s="13">
        <v>770</v>
      </c>
      <c r="X847" s="16"/>
      <c r="Z847" s="27"/>
    </row>
    <row r="848" spans="1:26" ht="45" x14ac:dyDescent="0.25">
      <c r="A848" s="28">
        <v>0</v>
      </c>
      <c r="B848" s="21">
        <v>80204250585</v>
      </c>
      <c r="C848" s="22" t="s">
        <v>48</v>
      </c>
      <c r="D848" s="22" t="s">
        <v>2442</v>
      </c>
      <c r="E848" s="22" t="s">
        <v>108</v>
      </c>
      <c r="F848" s="21"/>
      <c r="G848" s="16"/>
      <c r="H848" s="21"/>
      <c r="I848" s="21"/>
      <c r="J848" s="21" t="s">
        <v>2342</v>
      </c>
      <c r="K848" s="21"/>
      <c r="L848" s="22" t="s">
        <v>2343</v>
      </c>
      <c r="M848" s="21"/>
      <c r="O848" s="21"/>
      <c r="P848" s="21"/>
      <c r="Q848" s="21" t="s">
        <v>2342</v>
      </c>
      <c r="R848" s="21"/>
      <c r="S848" s="21" t="s">
        <v>2343</v>
      </c>
      <c r="T848" s="13">
        <v>770</v>
      </c>
      <c r="U848" s="23">
        <v>44874</v>
      </c>
      <c r="V848" s="23">
        <v>44874</v>
      </c>
      <c r="W848" s="13">
        <v>770</v>
      </c>
      <c r="X848" s="16"/>
      <c r="Z848" s="27"/>
    </row>
    <row r="849" spans="1:26" ht="105" x14ac:dyDescent="0.25">
      <c r="A849" s="28">
        <v>0</v>
      </c>
      <c r="B849" s="21">
        <v>80204250585</v>
      </c>
      <c r="C849" s="22" t="s">
        <v>48</v>
      </c>
      <c r="D849" s="22" t="s">
        <v>2443</v>
      </c>
      <c r="E849" s="22" t="s">
        <v>108</v>
      </c>
      <c r="F849" s="21"/>
      <c r="G849" s="16"/>
      <c r="H849" s="21"/>
      <c r="I849" s="21"/>
      <c r="J849" s="21" t="s">
        <v>2150</v>
      </c>
      <c r="K849" s="21"/>
      <c r="L849" s="22" t="s">
        <v>2444</v>
      </c>
      <c r="M849" s="21"/>
      <c r="O849" s="21"/>
      <c r="P849" s="21"/>
      <c r="Q849" s="21" t="s">
        <v>2150</v>
      </c>
      <c r="R849" s="21"/>
      <c r="S849" s="22" t="s">
        <v>2444</v>
      </c>
      <c r="T849" s="13">
        <v>1200</v>
      </c>
      <c r="U849" s="23">
        <v>44859</v>
      </c>
      <c r="V849" s="23">
        <v>44860</v>
      </c>
      <c r="W849" s="13">
        <v>1200</v>
      </c>
      <c r="X849" s="16"/>
      <c r="Z849" s="27"/>
    </row>
    <row r="850" spans="1:26" ht="90" x14ac:dyDescent="0.25">
      <c r="A850" s="28">
        <v>0</v>
      </c>
      <c r="B850" s="21">
        <v>80204250585</v>
      </c>
      <c r="C850" s="22" t="s">
        <v>48</v>
      </c>
      <c r="D850" s="22" t="s">
        <v>2445</v>
      </c>
      <c r="E850" s="22" t="s">
        <v>108</v>
      </c>
      <c r="F850" s="21"/>
      <c r="G850" s="16"/>
      <c r="H850" s="21"/>
      <c r="I850" s="21"/>
      <c r="J850" s="90">
        <v>8875251004</v>
      </c>
      <c r="K850" s="21"/>
      <c r="L850" s="22" t="s">
        <v>2446</v>
      </c>
      <c r="M850" s="21"/>
      <c r="O850" s="21"/>
      <c r="P850" s="21"/>
      <c r="Q850" s="21" t="s">
        <v>2447</v>
      </c>
      <c r="R850" s="21"/>
      <c r="S850" s="21" t="s">
        <v>2446</v>
      </c>
      <c r="T850" s="13">
        <v>696.66</v>
      </c>
      <c r="U850" s="23">
        <v>44869</v>
      </c>
      <c r="V850" s="23">
        <v>44890</v>
      </c>
      <c r="W850" s="13">
        <v>696.66</v>
      </c>
      <c r="X850" s="16"/>
      <c r="Z850" s="27"/>
    </row>
    <row r="851" spans="1:26" ht="105" x14ac:dyDescent="0.25">
      <c r="A851" s="28">
        <v>0</v>
      </c>
      <c r="B851" s="21">
        <v>80204250585</v>
      </c>
      <c r="C851" s="22" t="s">
        <v>48</v>
      </c>
      <c r="D851" s="22" t="s">
        <v>2448</v>
      </c>
      <c r="E851" s="22" t="s">
        <v>108</v>
      </c>
      <c r="F851" s="21"/>
      <c r="G851" s="16"/>
      <c r="H851" s="21"/>
      <c r="I851" s="21"/>
      <c r="J851" s="21" t="s">
        <v>2150</v>
      </c>
      <c r="K851" s="21"/>
      <c r="L851" s="22" t="s">
        <v>2444</v>
      </c>
      <c r="M851" s="21"/>
      <c r="O851" s="21"/>
      <c r="P851" s="21"/>
      <c r="Q851" s="21" t="s">
        <v>2150</v>
      </c>
      <c r="R851" s="21"/>
      <c r="S851" s="22" t="s">
        <v>2444</v>
      </c>
      <c r="T851" s="13">
        <v>1290</v>
      </c>
      <c r="U851" s="89">
        <v>44854</v>
      </c>
      <c r="V851" s="89">
        <v>44890</v>
      </c>
      <c r="W851" s="13">
        <v>0</v>
      </c>
      <c r="X851" s="16"/>
      <c r="Z851" s="27"/>
    </row>
    <row r="852" spans="1:26" ht="105" x14ac:dyDescent="0.25">
      <c r="A852" s="28">
        <v>0</v>
      </c>
      <c r="B852" s="21">
        <v>80204250585</v>
      </c>
      <c r="C852" s="22" t="s">
        <v>48</v>
      </c>
      <c r="D852" s="22" t="s">
        <v>2449</v>
      </c>
      <c r="E852" s="22" t="s">
        <v>108</v>
      </c>
      <c r="F852" s="21"/>
      <c r="G852" s="16"/>
      <c r="H852" s="21"/>
      <c r="I852" s="21"/>
      <c r="J852" s="21" t="s">
        <v>2342</v>
      </c>
      <c r="K852" s="21"/>
      <c r="L852" s="22" t="s">
        <v>2343</v>
      </c>
      <c r="M852" s="21"/>
      <c r="O852" s="21"/>
      <c r="P852" s="21"/>
      <c r="Q852" s="21" t="s">
        <v>2342</v>
      </c>
      <c r="R852" s="21"/>
      <c r="S852" s="21" t="s">
        <v>2343</v>
      </c>
      <c r="T852" s="13">
        <v>1320</v>
      </c>
      <c r="U852" s="89">
        <v>44889</v>
      </c>
      <c r="V852" s="89">
        <v>44890</v>
      </c>
      <c r="W852" s="13">
        <v>1320</v>
      </c>
      <c r="X852" s="16"/>
      <c r="Z852" s="27"/>
    </row>
    <row r="853" spans="1:26" ht="60" x14ac:dyDescent="0.25">
      <c r="A853" s="28" t="s">
        <v>2450</v>
      </c>
      <c r="B853" s="21">
        <v>80204250585</v>
      </c>
      <c r="C853" s="22" t="s">
        <v>48</v>
      </c>
      <c r="D853" s="22" t="s">
        <v>2451</v>
      </c>
      <c r="E853" s="22" t="s">
        <v>108</v>
      </c>
      <c r="F853" s="21"/>
      <c r="G853" s="16"/>
      <c r="H853" s="21"/>
      <c r="I853" s="21"/>
      <c r="J853" s="91" t="s">
        <v>2452</v>
      </c>
      <c r="K853" s="21"/>
      <c r="L853" s="22" t="s">
        <v>2453</v>
      </c>
      <c r="M853" s="21"/>
      <c r="N853" s="21"/>
      <c r="O853" s="21"/>
      <c r="P853" s="21"/>
      <c r="Q853" s="91" t="s">
        <v>2452</v>
      </c>
      <c r="R853" s="21"/>
      <c r="S853" s="22" t="s">
        <v>2453</v>
      </c>
      <c r="T853" s="13">
        <v>4480</v>
      </c>
      <c r="U853" s="89">
        <v>44896</v>
      </c>
      <c r="V853" s="89">
        <v>45291</v>
      </c>
      <c r="W853" s="13">
        <v>0</v>
      </c>
      <c r="X853" s="16"/>
      <c r="Z853" s="27"/>
    </row>
    <row r="854" spans="1:26" ht="60" x14ac:dyDescent="0.25">
      <c r="A854" s="28" t="s">
        <v>2454</v>
      </c>
      <c r="B854" s="21">
        <v>80204250585</v>
      </c>
      <c r="C854" s="22" t="s">
        <v>48</v>
      </c>
      <c r="D854" s="22" t="s">
        <v>2451</v>
      </c>
      <c r="E854" s="22" t="s">
        <v>108</v>
      </c>
      <c r="F854" s="21"/>
      <c r="G854" s="16"/>
      <c r="H854" s="21"/>
      <c r="I854" s="21"/>
      <c r="J854" s="91" t="s">
        <v>2455</v>
      </c>
      <c r="K854" s="21"/>
      <c r="L854" s="22" t="s">
        <v>2456</v>
      </c>
      <c r="M854" s="21"/>
      <c r="N854" s="21"/>
      <c r="O854" s="21"/>
      <c r="P854" s="21"/>
      <c r="Q854" s="91" t="s">
        <v>2455</v>
      </c>
      <c r="R854" s="21"/>
      <c r="S854" s="22" t="s">
        <v>2456</v>
      </c>
      <c r="T854" s="13">
        <v>4480</v>
      </c>
      <c r="U854" s="89">
        <v>44896</v>
      </c>
      <c r="V854" s="89">
        <v>45291</v>
      </c>
      <c r="W854" s="13">
        <v>0</v>
      </c>
      <c r="X854" s="16"/>
      <c r="Z854" s="27"/>
    </row>
    <row r="855" spans="1:26" ht="60" x14ac:dyDescent="0.25">
      <c r="A855" s="28">
        <v>0</v>
      </c>
      <c r="B855" s="21">
        <v>80204250585</v>
      </c>
      <c r="C855" s="22" t="s">
        <v>48</v>
      </c>
      <c r="D855" s="22" t="s">
        <v>2457</v>
      </c>
      <c r="E855" s="22" t="s">
        <v>108</v>
      </c>
      <c r="F855" s="21"/>
      <c r="G855" s="16"/>
      <c r="H855" s="21"/>
      <c r="I855" s="21"/>
      <c r="J855" s="90">
        <v>12799211003</v>
      </c>
      <c r="K855" s="21"/>
      <c r="L855" s="22" t="s">
        <v>2458</v>
      </c>
      <c r="M855" s="21"/>
      <c r="O855" s="21"/>
      <c r="P855" s="21"/>
      <c r="Q855" s="90">
        <v>12799211003</v>
      </c>
      <c r="R855" s="21"/>
      <c r="S855" s="22" t="s">
        <v>2458</v>
      </c>
      <c r="T855" s="13">
        <v>850</v>
      </c>
      <c r="U855" s="89">
        <v>44888</v>
      </c>
      <c r="V855" s="89">
        <v>44889</v>
      </c>
      <c r="W855" s="13">
        <v>850</v>
      </c>
      <c r="X855" s="16"/>
      <c r="Z855" s="27"/>
    </row>
    <row r="856" spans="1:26" ht="75" x14ac:dyDescent="0.25">
      <c r="A856" s="28">
        <v>0</v>
      </c>
      <c r="B856" s="21">
        <v>80204250585</v>
      </c>
      <c r="C856" s="22" t="s">
        <v>48</v>
      </c>
      <c r="D856" s="22" t="s">
        <v>2459</v>
      </c>
      <c r="E856" s="22" t="s">
        <v>108</v>
      </c>
      <c r="F856" s="21"/>
      <c r="G856" s="16"/>
      <c r="H856" s="21"/>
      <c r="I856" s="21"/>
      <c r="J856" s="90" t="s">
        <v>2460</v>
      </c>
      <c r="K856" s="21"/>
      <c r="L856" s="27" t="s">
        <v>2461</v>
      </c>
      <c r="M856" s="21"/>
      <c r="O856" s="21"/>
      <c r="P856" s="21"/>
      <c r="Q856" s="90" t="s">
        <v>2460</v>
      </c>
      <c r="R856" s="21"/>
      <c r="S856" s="27" t="s">
        <v>2461</v>
      </c>
      <c r="T856" s="13">
        <v>200</v>
      </c>
      <c r="U856" s="89">
        <v>44901</v>
      </c>
      <c r="V856" s="89">
        <v>44909</v>
      </c>
      <c r="W856" s="13">
        <v>200</v>
      </c>
      <c r="X856" s="16"/>
      <c r="Z856" s="27"/>
    </row>
    <row r="857" spans="1:26" ht="75" x14ac:dyDescent="0.25">
      <c r="A857" s="28">
        <v>0</v>
      </c>
      <c r="B857" s="21">
        <v>80204250585</v>
      </c>
      <c r="C857" s="22" t="s">
        <v>48</v>
      </c>
      <c r="D857" s="22" t="s">
        <v>2459</v>
      </c>
      <c r="E857" s="22" t="s">
        <v>108</v>
      </c>
      <c r="F857" s="21"/>
      <c r="G857" s="16"/>
      <c r="H857" s="21"/>
      <c r="I857" s="21"/>
      <c r="J857" s="90" t="s">
        <v>2460</v>
      </c>
      <c r="K857" s="21"/>
      <c r="L857" s="27" t="s">
        <v>2461</v>
      </c>
      <c r="M857" s="21"/>
      <c r="O857" s="21"/>
      <c r="P857" s="21"/>
      <c r="Q857" s="90" t="s">
        <v>2460</v>
      </c>
      <c r="R857" s="21"/>
      <c r="S857" s="27" t="s">
        <v>2461</v>
      </c>
      <c r="T857" s="13">
        <v>304</v>
      </c>
      <c r="U857" s="89">
        <v>44901</v>
      </c>
      <c r="V857" s="89">
        <v>44909</v>
      </c>
      <c r="W857" s="13">
        <v>304</v>
      </c>
      <c r="X857" s="16"/>
      <c r="Z857" s="27"/>
    </row>
    <row r="858" spans="1:26" ht="120" x14ac:dyDescent="0.25">
      <c r="A858" s="28">
        <v>0</v>
      </c>
      <c r="B858" s="21">
        <v>80204250585</v>
      </c>
      <c r="C858" s="22" t="s">
        <v>48</v>
      </c>
      <c r="D858" s="22" t="s">
        <v>2462</v>
      </c>
      <c r="E858" s="22" t="s">
        <v>108</v>
      </c>
      <c r="F858" s="21"/>
      <c r="G858" s="16"/>
      <c r="H858" s="21"/>
      <c r="I858" s="21"/>
      <c r="J858" s="90" t="s">
        <v>2463</v>
      </c>
      <c r="K858" s="21"/>
      <c r="L858" s="27" t="s">
        <v>2464</v>
      </c>
      <c r="M858" s="21"/>
      <c r="O858" s="21"/>
      <c r="P858" s="21"/>
      <c r="Q858" s="90" t="s">
        <v>2463</v>
      </c>
      <c r="R858" s="21"/>
      <c r="S858" s="27" t="s">
        <v>2464</v>
      </c>
      <c r="T858" s="13">
        <v>2830</v>
      </c>
      <c r="U858" s="89">
        <v>44849</v>
      </c>
      <c r="V858" s="89">
        <v>45101</v>
      </c>
      <c r="W858" s="13">
        <v>2000</v>
      </c>
      <c r="X858" s="16"/>
      <c r="Z858" s="27"/>
    </row>
    <row r="859" spans="1:26" ht="60" x14ac:dyDescent="0.25">
      <c r="A859" s="28">
        <v>0</v>
      </c>
      <c r="B859" s="21">
        <v>80204250585</v>
      </c>
      <c r="C859" s="22" t="s">
        <v>48</v>
      </c>
      <c r="D859" s="27" t="s">
        <v>2465</v>
      </c>
      <c r="E859" s="22" t="s">
        <v>108</v>
      </c>
      <c r="F859" s="21"/>
      <c r="G859" s="16"/>
      <c r="H859" s="21"/>
      <c r="I859" s="21"/>
      <c r="J859" s="21" t="s">
        <v>1895</v>
      </c>
      <c r="K859" s="21"/>
      <c r="L859" s="22" t="s">
        <v>2118</v>
      </c>
      <c r="M859" s="21"/>
      <c r="O859" s="21"/>
      <c r="P859" s="21"/>
      <c r="Q859" s="21" t="s">
        <v>1895</v>
      </c>
      <c r="R859" s="21"/>
      <c r="S859" s="22" t="s">
        <v>2118</v>
      </c>
      <c r="T859" s="13">
        <v>1900</v>
      </c>
      <c r="U859" s="23">
        <v>44876</v>
      </c>
      <c r="V859" s="23">
        <v>44956</v>
      </c>
      <c r="W859" s="13">
        <v>1900</v>
      </c>
      <c r="X859" s="16"/>
      <c r="Z859" s="27"/>
    </row>
    <row r="860" spans="1:26" ht="90" x14ac:dyDescent="0.25">
      <c r="A860" s="28">
        <v>0</v>
      </c>
      <c r="B860" s="21">
        <v>80204250585</v>
      </c>
      <c r="C860" s="22" t="s">
        <v>48</v>
      </c>
      <c r="D860" s="22" t="s">
        <v>2466</v>
      </c>
      <c r="E860" s="22" t="s">
        <v>108</v>
      </c>
      <c r="F860" s="21"/>
      <c r="G860" s="21"/>
      <c r="H860" s="21"/>
      <c r="I860" s="21"/>
      <c r="J860" s="21" t="s">
        <v>2236</v>
      </c>
      <c r="K860" s="21"/>
      <c r="L860" s="87" t="s">
        <v>2237</v>
      </c>
      <c r="M860" s="21"/>
      <c r="N860" s="21"/>
      <c r="O860" s="21"/>
      <c r="P860" s="21"/>
      <c r="Q860" s="21" t="s">
        <v>2236</v>
      </c>
      <c r="R860" s="21"/>
      <c r="S860" s="88" t="s">
        <v>2237</v>
      </c>
      <c r="T860" s="13">
        <v>900</v>
      </c>
      <c r="U860" s="23">
        <v>44875</v>
      </c>
      <c r="V860" s="23">
        <v>44875</v>
      </c>
      <c r="W860" s="13">
        <v>810</v>
      </c>
      <c r="X860" s="16"/>
      <c r="Z860" s="27"/>
    </row>
    <row r="861" spans="1:26" ht="90" x14ac:dyDescent="0.25">
      <c r="A861" s="28">
        <v>0</v>
      </c>
      <c r="B861" s="21">
        <v>80204250585</v>
      </c>
      <c r="C861" s="22" t="s">
        <v>48</v>
      </c>
      <c r="D861" s="22" t="s">
        <v>2466</v>
      </c>
      <c r="E861" s="22" t="s">
        <v>108</v>
      </c>
      <c r="F861" s="21"/>
      <c r="G861" s="21"/>
      <c r="H861" s="21"/>
      <c r="I861" s="21"/>
      <c r="J861" s="21" t="s">
        <v>2236</v>
      </c>
      <c r="K861" s="21"/>
      <c r="L861" s="87" t="s">
        <v>2237</v>
      </c>
      <c r="M861" s="21"/>
      <c r="N861" s="21"/>
      <c r="O861" s="21"/>
      <c r="P861" s="21"/>
      <c r="Q861" s="21" t="s">
        <v>2236</v>
      </c>
      <c r="R861" s="21"/>
      <c r="S861" s="88" t="s">
        <v>2237</v>
      </c>
      <c r="T861" s="13">
        <v>900</v>
      </c>
      <c r="U861" s="23">
        <v>44875</v>
      </c>
      <c r="V861" s="23">
        <v>44875</v>
      </c>
      <c r="W861" s="13">
        <v>810</v>
      </c>
      <c r="X861" s="16"/>
      <c r="Z861" s="27"/>
    </row>
    <row r="862" spans="1:26" ht="60" x14ac:dyDescent="0.25">
      <c r="A862" s="28">
        <v>0</v>
      </c>
      <c r="B862" s="21">
        <v>80204250585</v>
      </c>
      <c r="C862" s="22" t="s">
        <v>48</v>
      </c>
      <c r="D862" s="22" t="s">
        <v>2467</v>
      </c>
      <c r="E862" s="22" t="s">
        <v>108</v>
      </c>
      <c r="F862" s="21"/>
      <c r="G862" s="21"/>
      <c r="H862" s="21"/>
      <c r="I862" s="21"/>
      <c r="J862" s="21" t="s">
        <v>2236</v>
      </c>
      <c r="K862" s="21"/>
      <c r="L862" s="87" t="s">
        <v>2237</v>
      </c>
      <c r="M862" s="21"/>
      <c r="N862" s="21"/>
      <c r="O862" s="21"/>
      <c r="P862" s="21"/>
      <c r="Q862" s="21" t="s">
        <v>2236</v>
      </c>
      <c r="R862" s="21"/>
      <c r="S862" s="88" t="s">
        <v>2237</v>
      </c>
      <c r="T862" s="13">
        <v>690</v>
      </c>
      <c r="U862" s="23">
        <v>44907</v>
      </c>
      <c r="V862" s="23">
        <v>44907</v>
      </c>
      <c r="W862" s="13">
        <v>690</v>
      </c>
      <c r="X862" s="16"/>
      <c r="Z862" s="27"/>
    </row>
    <row r="863" spans="1:26" ht="60" x14ac:dyDescent="0.25">
      <c r="A863" s="28">
        <v>0</v>
      </c>
      <c r="B863" s="21">
        <v>80204250585</v>
      </c>
      <c r="C863" s="22" t="s">
        <v>48</v>
      </c>
      <c r="D863" s="22" t="s">
        <v>2468</v>
      </c>
      <c r="E863" s="22" t="s">
        <v>108</v>
      </c>
      <c r="F863" s="21"/>
      <c r="G863" s="21"/>
      <c r="H863" s="21"/>
      <c r="I863" s="21"/>
      <c r="J863" s="21" t="s">
        <v>2236</v>
      </c>
      <c r="K863" s="21"/>
      <c r="L863" s="87" t="s">
        <v>2237</v>
      </c>
      <c r="M863" s="21"/>
      <c r="N863" s="21"/>
      <c r="O863" s="21"/>
      <c r="P863" s="21"/>
      <c r="Q863" s="21" t="s">
        <v>2236</v>
      </c>
      <c r="R863" s="21"/>
      <c r="S863" s="88" t="s">
        <v>2237</v>
      </c>
      <c r="T863" s="13">
        <v>590</v>
      </c>
      <c r="U863" s="23">
        <v>44896</v>
      </c>
      <c r="V863" s="23">
        <v>44896</v>
      </c>
      <c r="W863" s="13">
        <v>590</v>
      </c>
      <c r="X863" s="16"/>
      <c r="Z863" s="27"/>
    </row>
    <row r="864" spans="1:26" ht="60" x14ac:dyDescent="0.25">
      <c r="A864" s="28">
        <v>0</v>
      </c>
      <c r="B864" s="21">
        <v>80204250585</v>
      </c>
      <c r="C864" s="22" t="s">
        <v>48</v>
      </c>
      <c r="D864" s="22" t="s">
        <v>2468</v>
      </c>
      <c r="E864" s="22" t="s">
        <v>108</v>
      </c>
      <c r="F864" s="21"/>
      <c r="G864" s="21"/>
      <c r="H864" s="21"/>
      <c r="I864" s="21"/>
      <c r="J864" s="21" t="s">
        <v>2236</v>
      </c>
      <c r="K864" s="21"/>
      <c r="L864" s="87" t="s">
        <v>2237</v>
      </c>
      <c r="M864" s="21"/>
      <c r="N864" s="21"/>
      <c r="O864" s="21"/>
      <c r="P864" s="21"/>
      <c r="Q864" s="21" t="s">
        <v>2236</v>
      </c>
      <c r="R864" s="21"/>
      <c r="S864" s="88" t="s">
        <v>2237</v>
      </c>
      <c r="T864" s="13">
        <v>472</v>
      </c>
      <c r="U864" s="23">
        <v>44896</v>
      </c>
      <c r="V864" s="23">
        <v>44896</v>
      </c>
      <c r="W864" s="13">
        <v>472</v>
      </c>
      <c r="X864" s="16"/>
      <c r="Z864" s="27"/>
    </row>
    <row r="865" spans="1:26" ht="105" x14ac:dyDescent="0.25">
      <c r="A865" s="28">
        <v>0</v>
      </c>
      <c r="B865" s="21">
        <v>80204250585</v>
      </c>
      <c r="C865" s="22" t="s">
        <v>48</v>
      </c>
      <c r="D865" s="22" t="s">
        <v>2469</v>
      </c>
      <c r="E865" s="22" t="s">
        <v>108</v>
      </c>
      <c r="F865" s="21"/>
      <c r="G865" s="16"/>
      <c r="H865" s="21"/>
      <c r="I865" s="21"/>
      <c r="J865" s="21" t="s">
        <v>2150</v>
      </c>
      <c r="K865" s="21"/>
      <c r="L865" s="22" t="s">
        <v>2444</v>
      </c>
      <c r="M865" s="21"/>
      <c r="O865" s="21"/>
      <c r="P865" s="21"/>
      <c r="Q865" s="21" t="s">
        <v>2150</v>
      </c>
      <c r="R865" s="21"/>
      <c r="S865" s="22" t="s">
        <v>2444</v>
      </c>
      <c r="T865" s="13">
        <v>190</v>
      </c>
      <c r="U865" s="23">
        <v>44859</v>
      </c>
      <c r="V865" s="23">
        <v>44890</v>
      </c>
      <c r="W865" s="13">
        <v>0</v>
      </c>
      <c r="X865" s="16"/>
      <c r="Z865" s="27"/>
    </row>
    <row r="866" spans="1:26" ht="45" x14ac:dyDescent="0.25">
      <c r="A866" s="28">
        <v>0</v>
      </c>
      <c r="B866" s="21">
        <v>80204250585</v>
      </c>
      <c r="C866" s="22" t="s">
        <v>48</v>
      </c>
      <c r="D866" s="22" t="s">
        <v>2470</v>
      </c>
      <c r="E866" s="22" t="s">
        <v>108</v>
      </c>
      <c r="F866" s="21"/>
      <c r="G866" s="16"/>
      <c r="H866" s="21"/>
      <c r="I866" s="21"/>
      <c r="J866" s="91" t="s">
        <v>2471</v>
      </c>
      <c r="K866" s="21"/>
      <c r="L866" s="92" t="s">
        <v>2472</v>
      </c>
      <c r="M866" s="21"/>
      <c r="O866" s="21"/>
      <c r="P866" s="21"/>
      <c r="Q866" s="91" t="s">
        <v>2471</v>
      </c>
      <c r="R866" s="21"/>
      <c r="S866" s="92" t="s">
        <v>2472</v>
      </c>
      <c r="T866" s="13">
        <v>150</v>
      </c>
      <c r="U866" s="23">
        <v>44889</v>
      </c>
      <c r="V866" s="23">
        <v>44890</v>
      </c>
      <c r="W866" s="13">
        <v>150</v>
      </c>
      <c r="X866" s="16"/>
      <c r="Z866" s="27"/>
    </row>
    <row r="867" spans="1:26" ht="60" x14ac:dyDescent="0.25">
      <c r="A867" s="28">
        <v>0</v>
      </c>
      <c r="B867" s="21">
        <v>80204250585</v>
      </c>
      <c r="C867" s="22" t="s">
        <v>48</v>
      </c>
      <c r="D867" s="22" t="s">
        <v>2473</v>
      </c>
      <c r="E867" s="22" t="s">
        <v>108</v>
      </c>
      <c r="F867" s="21"/>
      <c r="G867" s="16"/>
      <c r="H867" s="21"/>
      <c r="I867" s="21"/>
      <c r="J867" s="21" t="s">
        <v>2200</v>
      </c>
      <c r="K867" s="21"/>
      <c r="L867" s="22" t="s">
        <v>2201</v>
      </c>
      <c r="M867" s="21"/>
      <c r="O867" s="21"/>
      <c r="P867" s="21"/>
      <c r="Q867" s="21" t="s">
        <v>109</v>
      </c>
      <c r="R867" s="21"/>
      <c r="S867" s="21" t="s">
        <v>2201</v>
      </c>
      <c r="T867" s="13">
        <v>2195.1999999999998</v>
      </c>
      <c r="U867" s="23">
        <v>44893</v>
      </c>
      <c r="V867" s="23">
        <v>44957</v>
      </c>
      <c r="W867" s="13">
        <v>0</v>
      </c>
      <c r="X867" s="16"/>
      <c r="Z867" s="27"/>
    </row>
    <row r="868" spans="1:26" ht="75" x14ac:dyDescent="0.25">
      <c r="A868" s="28">
        <v>0</v>
      </c>
      <c r="B868" s="21">
        <v>80204250585</v>
      </c>
      <c r="C868" s="22" t="s">
        <v>48</v>
      </c>
      <c r="D868" s="22" t="s">
        <v>2474</v>
      </c>
      <c r="E868" s="22" t="s">
        <v>108</v>
      </c>
      <c r="F868" s="21"/>
      <c r="G868" s="21"/>
      <c r="H868" s="21"/>
      <c r="I868" s="21"/>
      <c r="J868" s="21" t="s">
        <v>2236</v>
      </c>
      <c r="K868" s="21"/>
      <c r="L868" s="87" t="s">
        <v>2237</v>
      </c>
      <c r="M868" s="21"/>
      <c r="N868" s="21"/>
      <c r="O868" s="21"/>
      <c r="P868" s="21"/>
      <c r="Q868" s="21" t="s">
        <v>2236</v>
      </c>
      <c r="R868" s="21"/>
      <c r="S868" s="88" t="s">
        <v>2237</v>
      </c>
      <c r="T868" s="13">
        <v>1837.5</v>
      </c>
      <c r="U868" s="23">
        <v>44895</v>
      </c>
      <c r="V868" s="23">
        <v>44895</v>
      </c>
      <c r="W868" s="13">
        <v>1837.5</v>
      </c>
      <c r="X868" s="16"/>
      <c r="Z868" s="27"/>
    </row>
    <row r="869" spans="1:26" ht="45" x14ac:dyDescent="0.25">
      <c r="A869" s="28">
        <v>0</v>
      </c>
      <c r="B869" s="21">
        <v>80204250585</v>
      </c>
      <c r="C869" s="22" t="s">
        <v>48</v>
      </c>
      <c r="D869" s="22" t="s">
        <v>2475</v>
      </c>
      <c r="E869" s="22" t="s">
        <v>108</v>
      </c>
      <c r="F869" s="21"/>
      <c r="G869" s="21"/>
      <c r="H869" s="21"/>
      <c r="I869" s="21"/>
      <c r="J869" s="21" t="s">
        <v>2236</v>
      </c>
      <c r="K869" s="21"/>
      <c r="L869" s="87" t="s">
        <v>2237</v>
      </c>
      <c r="M869" s="21"/>
      <c r="N869" s="21"/>
      <c r="O869" s="21"/>
      <c r="P869" s="21"/>
      <c r="Q869" s="21" t="s">
        <v>2236</v>
      </c>
      <c r="R869" s="21"/>
      <c r="S869" s="88" t="s">
        <v>2237</v>
      </c>
      <c r="T869" s="13">
        <v>2730</v>
      </c>
      <c r="U869" s="23">
        <v>44908</v>
      </c>
      <c r="V869" s="23">
        <v>44908</v>
      </c>
      <c r="W869" s="13">
        <v>2730</v>
      </c>
      <c r="X869" s="16"/>
      <c r="Z869" s="27"/>
    </row>
    <row r="870" spans="1:26" ht="75" x14ac:dyDescent="0.25">
      <c r="A870" s="28">
        <v>0</v>
      </c>
      <c r="B870" s="21">
        <v>80204250585</v>
      </c>
      <c r="C870" s="22" t="s">
        <v>48</v>
      </c>
      <c r="D870" s="22" t="s">
        <v>2476</v>
      </c>
      <c r="E870" s="22" t="s">
        <v>108</v>
      </c>
      <c r="F870" s="21"/>
      <c r="G870" s="21"/>
      <c r="H870" s="21"/>
      <c r="I870" s="21"/>
      <c r="J870" s="21" t="s">
        <v>2236</v>
      </c>
      <c r="K870" s="21"/>
      <c r="L870" s="87" t="s">
        <v>2237</v>
      </c>
      <c r="M870" s="21"/>
      <c r="N870" s="21"/>
      <c r="O870" s="21"/>
      <c r="P870" s="21"/>
      <c r="Q870" s="21" t="s">
        <v>2236</v>
      </c>
      <c r="R870" s="21"/>
      <c r="S870" s="88" t="s">
        <v>2237</v>
      </c>
      <c r="T870" s="13">
        <v>650</v>
      </c>
      <c r="U870" s="23">
        <v>44914</v>
      </c>
      <c r="V870" s="23">
        <v>44914</v>
      </c>
      <c r="W870" s="13">
        <v>650</v>
      </c>
      <c r="X870" s="16"/>
      <c r="Z870" s="27"/>
    </row>
    <row r="871" spans="1:26" ht="75" x14ac:dyDescent="0.25">
      <c r="A871" s="28">
        <v>0</v>
      </c>
      <c r="B871" s="21">
        <v>80204250585</v>
      </c>
      <c r="C871" s="22" t="s">
        <v>48</v>
      </c>
      <c r="D871" s="22" t="s">
        <v>2477</v>
      </c>
      <c r="E871" s="22" t="s">
        <v>108</v>
      </c>
      <c r="F871" s="21"/>
      <c r="G871" s="16"/>
      <c r="H871" s="21"/>
      <c r="I871" s="21"/>
      <c r="J871" s="21" t="s">
        <v>2312</v>
      </c>
      <c r="K871" s="21"/>
      <c r="L871" s="22" t="s">
        <v>2313</v>
      </c>
      <c r="M871" s="21"/>
      <c r="O871" s="21"/>
      <c r="P871" s="21"/>
      <c r="Q871" s="21" t="s">
        <v>2312</v>
      </c>
      <c r="R871" s="21"/>
      <c r="S871" s="21" t="s">
        <v>2313</v>
      </c>
      <c r="T871" s="13">
        <v>790</v>
      </c>
      <c r="U871" s="23">
        <v>44910</v>
      </c>
      <c r="V871" s="23">
        <v>44910</v>
      </c>
      <c r="W871" s="13">
        <v>790</v>
      </c>
      <c r="X871" s="16"/>
      <c r="Z871" s="27"/>
    </row>
    <row r="872" spans="1:26" ht="75" x14ac:dyDescent="0.25">
      <c r="A872" s="28">
        <v>0</v>
      </c>
      <c r="B872" s="21">
        <v>80204250585</v>
      </c>
      <c r="C872" s="22" t="s">
        <v>48</v>
      </c>
      <c r="D872" s="22" t="s">
        <v>2478</v>
      </c>
      <c r="E872" s="22" t="s">
        <v>108</v>
      </c>
      <c r="F872" s="21"/>
      <c r="G872" s="21"/>
      <c r="H872" s="21"/>
      <c r="I872" s="21"/>
      <c r="J872" s="21" t="s">
        <v>2236</v>
      </c>
      <c r="K872" s="21"/>
      <c r="L872" s="87" t="s">
        <v>2237</v>
      </c>
      <c r="M872" s="21"/>
      <c r="N872" s="21"/>
      <c r="O872" s="21"/>
      <c r="P872" s="21"/>
      <c r="Q872" s="21" t="s">
        <v>2236</v>
      </c>
      <c r="R872" s="21"/>
      <c r="S872" s="88" t="s">
        <v>2237</v>
      </c>
      <c r="T872" s="13">
        <v>900</v>
      </c>
      <c r="U872" s="23">
        <v>44914</v>
      </c>
      <c r="V872" s="23">
        <v>44914</v>
      </c>
      <c r="W872" s="13">
        <v>900</v>
      </c>
      <c r="X872" s="16"/>
      <c r="Z872" s="27"/>
    </row>
    <row r="873" spans="1:26" ht="45" x14ac:dyDescent="0.25">
      <c r="A873" s="28">
        <v>0</v>
      </c>
      <c r="B873" s="21">
        <v>80204250585</v>
      </c>
      <c r="C873" s="22" t="s">
        <v>48</v>
      </c>
      <c r="D873" s="22" t="s">
        <v>2479</v>
      </c>
      <c r="E873" s="22" t="s">
        <v>108</v>
      </c>
      <c r="F873" s="21"/>
      <c r="G873" s="21"/>
      <c r="H873" s="21"/>
      <c r="I873" s="21"/>
      <c r="J873" s="91" t="s">
        <v>2480</v>
      </c>
      <c r="K873" s="21"/>
      <c r="L873" s="88" t="s">
        <v>2481</v>
      </c>
      <c r="M873" s="21"/>
      <c r="N873" s="21"/>
      <c r="O873" s="21"/>
      <c r="P873" s="21"/>
      <c r="Q873" s="91" t="s">
        <v>2480</v>
      </c>
      <c r="R873" s="21"/>
      <c r="S873" s="88" t="s">
        <v>2481</v>
      </c>
      <c r="T873" s="13">
        <v>1950</v>
      </c>
      <c r="U873" s="23">
        <v>44980</v>
      </c>
      <c r="V873" s="23">
        <v>44983</v>
      </c>
      <c r="W873" s="13">
        <v>0</v>
      </c>
      <c r="X873" s="16"/>
      <c r="Z873" s="27"/>
    </row>
    <row r="874" spans="1:26" ht="75" x14ac:dyDescent="0.25">
      <c r="A874" s="28" t="s">
        <v>2482</v>
      </c>
      <c r="B874" s="21">
        <v>80204250585</v>
      </c>
      <c r="C874" s="22" t="s">
        <v>48</v>
      </c>
      <c r="D874" s="27" t="s">
        <v>2483</v>
      </c>
      <c r="E874" s="22" t="s">
        <v>108</v>
      </c>
      <c r="J874" s="21" t="s">
        <v>2345</v>
      </c>
      <c r="K874" s="21"/>
      <c r="L874" s="22" t="s">
        <v>2346</v>
      </c>
      <c r="Q874" s="21" t="s">
        <v>2345</v>
      </c>
      <c r="S874" s="22" t="s">
        <v>1280</v>
      </c>
      <c r="T874" s="13">
        <v>600</v>
      </c>
      <c r="U874" s="23">
        <v>44562</v>
      </c>
      <c r="V874" s="23">
        <v>44926</v>
      </c>
      <c r="W874" s="13">
        <v>600</v>
      </c>
      <c r="X874" s="16"/>
      <c r="Z874" s="27"/>
    </row>
    <row r="875" spans="1:26" ht="60" x14ac:dyDescent="0.25">
      <c r="A875" s="28">
        <v>0</v>
      </c>
      <c r="B875" s="21">
        <v>80204250585</v>
      </c>
      <c r="C875" s="22" t="s">
        <v>48</v>
      </c>
      <c r="D875" s="27" t="s">
        <v>2484</v>
      </c>
      <c r="E875" s="22" t="s">
        <v>108</v>
      </c>
      <c r="F875" s="21"/>
      <c r="G875" s="16"/>
      <c r="H875" s="21"/>
      <c r="I875" s="21"/>
      <c r="J875" s="21" t="s">
        <v>2308</v>
      </c>
      <c r="K875" s="21"/>
      <c r="L875" s="22" t="s">
        <v>2309</v>
      </c>
      <c r="M875" s="21"/>
      <c r="O875" s="21"/>
      <c r="P875" s="21"/>
      <c r="Q875" s="21" t="s">
        <v>2308</v>
      </c>
      <c r="R875" s="21"/>
      <c r="S875" s="21" t="s">
        <v>2309</v>
      </c>
      <c r="T875" s="13">
        <v>400</v>
      </c>
      <c r="U875" s="23">
        <v>44957</v>
      </c>
      <c r="V875" s="23">
        <v>44957</v>
      </c>
      <c r="W875" s="13">
        <v>400</v>
      </c>
      <c r="X875" s="16"/>
      <c r="Z875" s="27"/>
    </row>
    <row r="876" spans="1:26" ht="75" x14ac:dyDescent="0.25">
      <c r="A876" s="28" t="s">
        <v>2485</v>
      </c>
      <c r="B876" s="21">
        <v>80204250585</v>
      </c>
      <c r="C876" s="22" t="s">
        <v>48</v>
      </c>
      <c r="D876" s="22" t="s">
        <v>2486</v>
      </c>
      <c r="E876" s="22" t="s">
        <v>108</v>
      </c>
      <c r="F876" s="21"/>
      <c r="G876" s="16"/>
      <c r="H876" s="21"/>
      <c r="I876" s="21"/>
      <c r="J876" s="21" t="s">
        <v>2432</v>
      </c>
      <c r="K876" s="21"/>
      <c r="L876" s="21" t="s">
        <v>2433</v>
      </c>
      <c r="M876" s="16"/>
      <c r="O876" s="21"/>
      <c r="P876" s="21"/>
      <c r="Q876" s="21" t="s">
        <v>2432</v>
      </c>
      <c r="R876" s="21"/>
      <c r="S876" s="21" t="s">
        <v>2433</v>
      </c>
      <c r="T876" s="13">
        <v>2080</v>
      </c>
      <c r="U876" s="23">
        <v>44945</v>
      </c>
      <c r="V876" s="23">
        <v>45291</v>
      </c>
      <c r="W876" s="13">
        <v>2080</v>
      </c>
      <c r="X876" s="16"/>
      <c r="Z876" s="27"/>
    </row>
    <row r="877" spans="1:26" ht="75" x14ac:dyDescent="0.25">
      <c r="A877" s="28">
        <v>0</v>
      </c>
      <c r="B877" s="21">
        <v>80204250585</v>
      </c>
      <c r="C877" s="22" t="s">
        <v>48</v>
      </c>
      <c r="D877" s="22" t="s">
        <v>2487</v>
      </c>
      <c r="E877" s="22" t="s">
        <v>108</v>
      </c>
      <c r="F877" s="21"/>
      <c r="G877" s="16"/>
      <c r="H877" s="21"/>
      <c r="I877" s="21"/>
      <c r="J877" s="21" t="s">
        <v>2324</v>
      </c>
      <c r="K877" s="21"/>
      <c r="L877" s="22" t="s">
        <v>2325</v>
      </c>
      <c r="M877" s="21"/>
      <c r="N877" s="21"/>
      <c r="O877" s="21"/>
      <c r="P877" s="21"/>
      <c r="Q877" s="21" t="s">
        <v>2324</v>
      </c>
      <c r="R877" s="21"/>
      <c r="S877" s="21" t="s">
        <v>2325</v>
      </c>
      <c r="T877" s="13">
        <v>3600</v>
      </c>
      <c r="U877" s="23">
        <v>44957</v>
      </c>
      <c r="V877" s="23">
        <v>44957</v>
      </c>
      <c r="W877" s="13">
        <v>3600</v>
      </c>
      <c r="X877" s="16"/>
      <c r="Z877" s="27"/>
    </row>
    <row r="878" spans="1:26" ht="60" x14ac:dyDescent="0.25">
      <c r="A878" s="28">
        <v>0</v>
      </c>
      <c r="B878" s="21">
        <v>80204250585</v>
      </c>
      <c r="C878" s="22" t="s">
        <v>48</v>
      </c>
      <c r="D878" s="22" t="s">
        <v>2488</v>
      </c>
      <c r="E878" s="22" t="s">
        <v>108</v>
      </c>
      <c r="F878" s="21"/>
      <c r="G878" s="16"/>
      <c r="H878" s="21"/>
      <c r="I878" s="21"/>
      <c r="J878" s="21" t="s">
        <v>2236</v>
      </c>
      <c r="K878" s="21"/>
      <c r="L878" s="22" t="s">
        <v>2237</v>
      </c>
      <c r="M878" s="21"/>
      <c r="O878" s="21"/>
      <c r="P878" s="21"/>
      <c r="Q878" s="21" t="s">
        <v>2236</v>
      </c>
      <c r="R878" s="21"/>
      <c r="S878" s="21" t="s">
        <v>2237</v>
      </c>
      <c r="T878" s="13">
        <v>850</v>
      </c>
      <c r="U878" s="23">
        <v>44950</v>
      </c>
      <c r="V878" s="23">
        <v>44950</v>
      </c>
      <c r="W878" s="13">
        <v>850</v>
      </c>
      <c r="X878" s="16"/>
      <c r="Z878" s="27"/>
    </row>
    <row r="879" spans="1:26" ht="45" x14ac:dyDescent="0.25">
      <c r="A879" s="28">
        <v>0</v>
      </c>
      <c r="B879" s="21">
        <v>80204250585</v>
      </c>
      <c r="C879" s="22" t="s">
        <v>48</v>
      </c>
      <c r="D879" s="22" t="s">
        <v>2479</v>
      </c>
      <c r="E879" s="22" t="s">
        <v>108</v>
      </c>
      <c r="F879" s="21"/>
      <c r="G879" s="16"/>
      <c r="H879" s="21"/>
      <c r="I879" s="21"/>
      <c r="J879" s="21" t="s">
        <v>2480</v>
      </c>
      <c r="K879" s="21"/>
      <c r="L879" s="22" t="s">
        <v>2489</v>
      </c>
      <c r="M879" s="21"/>
      <c r="O879" s="21"/>
      <c r="P879" s="21"/>
      <c r="Q879" s="21" t="s">
        <v>2480</v>
      </c>
      <c r="R879" s="21"/>
      <c r="S879" s="22" t="s">
        <v>2489</v>
      </c>
      <c r="T879" s="13">
        <v>1950</v>
      </c>
      <c r="U879" s="23">
        <v>44980</v>
      </c>
      <c r="V879" s="23">
        <v>44983</v>
      </c>
      <c r="W879" s="13">
        <v>1790</v>
      </c>
      <c r="X879" s="16"/>
      <c r="Z879" s="27"/>
    </row>
    <row r="880" spans="1:26" ht="75" x14ac:dyDescent="0.25">
      <c r="A880" s="28">
        <v>0</v>
      </c>
      <c r="B880" s="21">
        <v>80204250585</v>
      </c>
      <c r="C880" s="22" t="s">
        <v>48</v>
      </c>
      <c r="D880" s="22" t="s">
        <v>2490</v>
      </c>
      <c r="E880" s="22" t="s">
        <v>108</v>
      </c>
      <c r="F880" s="21"/>
      <c r="G880" s="16"/>
      <c r="H880" s="21"/>
      <c r="I880" s="21"/>
      <c r="J880" s="21" t="s">
        <v>2236</v>
      </c>
      <c r="K880" s="21"/>
      <c r="L880" s="22" t="s">
        <v>2237</v>
      </c>
      <c r="M880" s="21"/>
      <c r="O880" s="21"/>
      <c r="P880" s="21"/>
      <c r="Q880" s="21" t="s">
        <v>2236</v>
      </c>
      <c r="R880" s="21"/>
      <c r="S880" s="21" t="s">
        <v>2237</v>
      </c>
      <c r="T880" s="13">
        <v>690</v>
      </c>
      <c r="U880" s="23">
        <v>44977</v>
      </c>
      <c r="V880" s="23">
        <v>44977</v>
      </c>
      <c r="W880" s="13">
        <v>690</v>
      </c>
      <c r="X880" s="16"/>
      <c r="Z880" s="27"/>
    </row>
    <row r="881" spans="1:26" ht="60" x14ac:dyDescent="0.25">
      <c r="A881" s="28">
        <v>0</v>
      </c>
      <c r="B881" s="21">
        <v>80204250585</v>
      </c>
      <c r="C881" s="22" t="s">
        <v>48</v>
      </c>
      <c r="D881" s="22" t="s">
        <v>2491</v>
      </c>
      <c r="E881" s="22" t="s">
        <v>108</v>
      </c>
      <c r="F881" s="21"/>
      <c r="G881" s="16"/>
      <c r="H881" s="21"/>
      <c r="I881" s="21"/>
      <c r="J881" s="21" t="s">
        <v>2312</v>
      </c>
      <c r="K881" s="21"/>
      <c r="L881" s="22" t="s">
        <v>2313</v>
      </c>
      <c r="M881" s="21"/>
      <c r="O881" s="21"/>
      <c r="P881" s="21"/>
      <c r="Q881" s="21" t="s">
        <v>2312</v>
      </c>
      <c r="R881" s="21"/>
      <c r="S881" s="21" t="s">
        <v>2313</v>
      </c>
      <c r="T881" s="13">
        <v>590</v>
      </c>
      <c r="U881" s="23">
        <v>44985</v>
      </c>
      <c r="V881" s="23">
        <v>44985</v>
      </c>
      <c r="W881" s="13">
        <v>590</v>
      </c>
      <c r="X881" s="16"/>
      <c r="Z881" s="27"/>
    </row>
    <row r="882" spans="1:26" ht="75" x14ac:dyDescent="0.25">
      <c r="A882" s="28">
        <v>0</v>
      </c>
      <c r="B882" s="21">
        <v>80204250585</v>
      </c>
      <c r="C882" s="22" t="s">
        <v>48</v>
      </c>
      <c r="D882" s="22" t="s">
        <v>2492</v>
      </c>
      <c r="E882" s="22" t="s">
        <v>108</v>
      </c>
      <c r="F882" s="21"/>
      <c r="G882" s="16"/>
      <c r="H882" s="21"/>
      <c r="I882" s="21"/>
      <c r="J882" s="21" t="s">
        <v>2236</v>
      </c>
      <c r="K882" s="21"/>
      <c r="L882" s="22" t="s">
        <v>2237</v>
      </c>
      <c r="M882" s="21"/>
      <c r="O882" s="21"/>
      <c r="P882" s="21"/>
      <c r="Q882" s="21" t="s">
        <v>2236</v>
      </c>
      <c r="R882" s="21"/>
      <c r="S882" s="21" t="s">
        <v>2237</v>
      </c>
      <c r="T882" s="13">
        <v>950</v>
      </c>
      <c r="U882" s="23">
        <v>44957</v>
      </c>
      <c r="V882" s="23">
        <v>44957</v>
      </c>
      <c r="W882" s="13">
        <v>950</v>
      </c>
      <c r="X882" s="16"/>
      <c r="Z882" s="27"/>
    </row>
    <row r="883" spans="1:26" ht="75" x14ac:dyDescent="0.25">
      <c r="A883" s="28">
        <v>0</v>
      </c>
      <c r="B883" s="21">
        <v>80204250585</v>
      </c>
      <c r="C883" s="22" t="s">
        <v>48</v>
      </c>
      <c r="D883" s="22" t="s">
        <v>2493</v>
      </c>
      <c r="E883" s="22" t="s">
        <v>108</v>
      </c>
      <c r="F883" s="21"/>
      <c r="G883" s="16"/>
      <c r="H883" s="21"/>
      <c r="I883" s="21"/>
      <c r="J883" s="21" t="s">
        <v>2268</v>
      </c>
      <c r="K883" s="21"/>
      <c r="L883" s="27" t="s">
        <v>2269</v>
      </c>
      <c r="M883" s="21"/>
      <c r="O883" s="21"/>
      <c r="P883" s="21"/>
      <c r="Q883" s="21" t="s">
        <v>2268</v>
      </c>
      <c r="R883" s="21"/>
      <c r="S883" s="16" t="s">
        <v>2269</v>
      </c>
      <c r="T883" s="13">
        <v>550</v>
      </c>
      <c r="U883" s="23">
        <v>44960</v>
      </c>
      <c r="V883" s="23">
        <v>45016</v>
      </c>
      <c r="W883" s="13">
        <v>0</v>
      </c>
      <c r="X883" s="16"/>
      <c r="Z883" s="27"/>
    </row>
    <row r="884" spans="1:26" ht="75" x14ac:dyDescent="0.25">
      <c r="A884" s="28">
        <v>0</v>
      </c>
      <c r="B884" s="21">
        <v>80204250585</v>
      </c>
      <c r="C884" s="22" t="s">
        <v>48</v>
      </c>
      <c r="D884" s="22" t="s">
        <v>2493</v>
      </c>
      <c r="E884" s="22" t="s">
        <v>108</v>
      </c>
      <c r="F884" s="21"/>
      <c r="G884" s="16"/>
      <c r="H884" s="21"/>
      <c r="I884" s="21"/>
      <c r="J884" s="21" t="s">
        <v>2268</v>
      </c>
      <c r="K884" s="21"/>
      <c r="L884" s="27" t="s">
        <v>2269</v>
      </c>
      <c r="M884" s="21"/>
      <c r="O884" s="21"/>
      <c r="P884" s="21"/>
      <c r="Q884" s="21" t="s">
        <v>2268</v>
      </c>
      <c r="R884" s="21"/>
      <c r="S884" s="16" t="s">
        <v>2269</v>
      </c>
      <c r="T884" s="13">
        <v>550</v>
      </c>
      <c r="U884" s="23">
        <v>44960</v>
      </c>
      <c r="V884" s="23">
        <v>45016</v>
      </c>
      <c r="W884" s="13">
        <v>0</v>
      </c>
      <c r="X884" s="16"/>
      <c r="Z884" s="27"/>
    </row>
    <row r="885" spans="1:26" ht="45" x14ac:dyDescent="0.25">
      <c r="A885" s="28">
        <v>0</v>
      </c>
      <c r="B885" s="21">
        <v>80204250585</v>
      </c>
      <c r="C885" s="22" t="s">
        <v>48</v>
      </c>
      <c r="D885" s="22" t="s">
        <v>2494</v>
      </c>
      <c r="E885" s="22" t="s">
        <v>108</v>
      </c>
      <c r="F885" s="21"/>
      <c r="G885" s="16"/>
      <c r="H885" s="21"/>
      <c r="I885" s="21"/>
      <c r="J885" s="21" t="s">
        <v>2342</v>
      </c>
      <c r="K885" s="21"/>
      <c r="L885" s="22" t="s">
        <v>2343</v>
      </c>
      <c r="M885" s="21"/>
      <c r="O885" s="21"/>
      <c r="P885" s="21"/>
      <c r="Q885" s="21" t="s">
        <v>2342</v>
      </c>
      <c r="R885" s="21"/>
      <c r="S885" s="21" t="s">
        <v>2343</v>
      </c>
      <c r="T885" s="13">
        <v>9900</v>
      </c>
      <c r="U885" s="23">
        <v>44966</v>
      </c>
      <c r="V885" s="23">
        <v>44966</v>
      </c>
      <c r="W885" s="13">
        <v>9900</v>
      </c>
      <c r="X885" s="16"/>
      <c r="Z885" s="27"/>
    </row>
    <row r="886" spans="1:26" ht="45" x14ac:dyDescent="0.25">
      <c r="A886" s="28">
        <v>0</v>
      </c>
      <c r="B886" s="21">
        <v>80204250585</v>
      </c>
      <c r="C886" s="22" t="s">
        <v>48</v>
      </c>
      <c r="D886" s="22" t="s">
        <v>2495</v>
      </c>
      <c r="E886" s="22" t="s">
        <v>108</v>
      </c>
      <c r="F886" s="21"/>
      <c r="G886" s="16"/>
      <c r="H886" s="21"/>
      <c r="I886" s="21"/>
      <c r="J886" s="21" t="s">
        <v>2342</v>
      </c>
      <c r="K886" s="21"/>
      <c r="L886" s="22" t="s">
        <v>2343</v>
      </c>
      <c r="M886" s="21"/>
      <c r="O886" s="21"/>
      <c r="P886" s="21"/>
      <c r="Q886" s="21" t="s">
        <v>2342</v>
      </c>
      <c r="R886" s="21"/>
      <c r="S886" s="21" t="s">
        <v>2343</v>
      </c>
      <c r="T886" s="13">
        <v>500</v>
      </c>
      <c r="U886" s="23">
        <v>44966</v>
      </c>
      <c r="V886" s="23">
        <v>44966</v>
      </c>
      <c r="W886" s="13">
        <v>500</v>
      </c>
      <c r="X886" s="16"/>
      <c r="Z886" s="27"/>
    </row>
    <row r="887" spans="1:26" ht="90" x14ac:dyDescent="0.25">
      <c r="A887" s="28">
        <v>0</v>
      </c>
      <c r="B887" s="21">
        <v>80204250585</v>
      </c>
      <c r="C887" s="22" t="s">
        <v>48</v>
      </c>
      <c r="D887" s="22" t="s">
        <v>2496</v>
      </c>
      <c r="E887" s="22" t="s">
        <v>108</v>
      </c>
      <c r="F887" s="21"/>
      <c r="G887" s="16"/>
      <c r="H887" s="21"/>
      <c r="I887" s="21"/>
      <c r="J887" s="21" t="s">
        <v>2236</v>
      </c>
      <c r="K887" s="21"/>
      <c r="L887" s="22" t="s">
        <v>2237</v>
      </c>
      <c r="M887" s="21"/>
      <c r="O887" s="21"/>
      <c r="P887" s="21"/>
      <c r="Q887" s="21" t="s">
        <v>2236</v>
      </c>
      <c r="R887" s="21"/>
      <c r="S887" s="21" t="s">
        <v>2237</v>
      </c>
      <c r="T887" s="13">
        <v>750</v>
      </c>
      <c r="U887" s="23">
        <v>44984</v>
      </c>
      <c r="V887" s="23">
        <v>44984</v>
      </c>
      <c r="W887" s="13">
        <v>750</v>
      </c>
      <c r="X887" s="16"/>
      <c r="Z887" s="27"/>
    </row>
    <row r="888" spans="1:26" ht="90" x14ac:dyDescent="0.25">
      <c r="A888" s="28">
        <v>0</v>
      </c>
      <c r="B888" s="21">
        <v>80204250585</v>
      </c>
      <c r="C888" s="22" t="s">
        <v>48</v>
      </c>
      <c r="D888" s="22" t="s">
        <v>2496</v>
      </c>
      <c r="E888" s="22" t="s">
        <v>108</v>
      </c>
      <c r="F888" s="21"/>
      <c r="G888" s="16"/>
      <c r="H888" s="21"/>
      <c r="I888" s="21"/>
      <c r="J888" s="21" t="s">
        <v>2236</v>
      </c>
      <c r="K888" s="21"/>
      <c r="L888" s="22" t="s">
        <v>2237</v>
      </c>
      <c r="M888" s="21"/>
      <c r="O888" s="21"/>
      <c r="P888" s="21"/>
      <c r="Q888" s="21" t="s">
        <v>2236</v>
      </c>
      <c r="R888" s="21"/>
      <c r="S888" s="21" t="s">
        <v>2237</v>
      </c>
      <c r="T888" s="13">
        <v>750</v>
      </c>
      <c r="U888" s="23">
        <v>44984</v>
      </c>
      <c r="V888" s="23">
        <v>44984</v>
      </c>
      <c r="W888" s="13">
        <v>750</v>
      </c>
      <c r="X888" s="16"/>
      <c r="Z888" s="27"/>
    </row>
    <row r="889" spans="1:26" ht="75" x14ac:dyDescent="0.25">
      <c r="A889" s="28">
        <v>0</v>
      </c>
      <c r="B889" s="21">
        <v>80204250585</v>
      </c>
      <c r="C889" s="22" t="s">
        <v>48</v>
      </c>
      <c r="D889" s="22" t="s">
        <v>2497</v>
      </c>
      <c r="E889" s="22" t="s">
        <v>108</v>
      </c>
      <c r="F889" s="21"/>
      <c r="G889" s="16"/>
      <c r="H889" s="21"/>
      <c r="I889" s="21"/>
      <c r="J889" s="21" t="s">
        <v>2498</v>
      </c>
      <c r="K889" s="21"/>
      <c r="L889" s="22" t="s">
        <v>2499</v>
      </c>
      <c r="M889" s="21"/>
      <c r="O889" s="21"/>
      <c r="P889" s="21"/>
      <c r="Q889" s="21" t="s">
        <v>2498</v>
      </c>
      <c r="R889" s="21"/>
      <c r="S889" s="22" t="s">
        <v>2499</v>
      </c>
      <c r="T889" s="13">
        <v>600</v>
      </c>
      <c r="U889" s="23">
        <v>44995</v>
      </c>
      <c r="V889" s="23">
        <v>44995</v>
      </c>
      <c r="W889" s="13">
        <v>600</v>
      </c>
      <c r="X889" s="16"/>
      <c r="Z889" s="27"/>
    </row>
    <row r="890" spans="1:26" ht="45" x14ac:dyDescent="0.25">
      <c r="A890" s="28">
        <v>0</v>
      </c>
      <c r="B890" s="21">
        <v>80204250585</v>
      </c>
      <c r="C890" s="22" t="s">
        <v>48</v>
      </c>
      <c r="D890" s="22" t="s">
        <v>2500</v>
      </c>
      <c r="E890" s="22" t="s">
        <v>108</v>
      </c>
      <c r="F890" s="21"/>
      <c r="G890" s="16"/>
      <c r="H890" s="21"/>
      <c r="I890" s="21"/>
      <c r="J890" s="21" t="s">
        <v>2501</v>
      </c>
      <c r="K890" s="21"/>
      <c r="L890" s="22" t="s">
        <v>2502</v>
      </c>
      <c r="M890" s="21"/>
      <c r="O890" s="21"/>
      <c r="P890" s="21"/>
      <c r="Q890" s="21" t="s">
        <v>2501</v>
      </c>
      <c r="R890" s="21"/>
      <c r="S890" s="22" t="s">
        <v>2502</v>
      </c>
      <c r="T890" s="13">
        <v>447</v>
      </c>
      <c r="U890" s="23">
        <v>45071</v>
      </c>
      <c r="V890" s="23">
        <v>45071</v>
      </c>
      <c r="W890" s="13">
        <v>447</v>
      </c>
      <c r="X890" s="16"/>
      <c r="Z890" s="27"/>
    </row>
    <row r="891" spans="1:26" ht="45" x14ac:dyDescent="0.25">
      <c r="A891" s="28">
        <v>0</v>
      </c>
      <c r="B891" s="21">
        <v>80204250585</v>
      </c>
      <c r="C891" s="22" t="s">
        <v>48</v>
      </c>
      <c r="D891" s="22" t="s">
        <v>2503</v>
      </c>
      <c r="E891" s="22" t="s">
        <v>108</v>
      </c>
      <c r="F891" s="21"/>
      <c r="G891" s="16"/>
      <c r="H891" s="21"/>
      <c r="I891" s="21"/>
      <c r="J891" s="21" t="s">
        <v>2504</v>
      </c>
      <c r="K891" s="21"/>
      <c r="L891" s="27" t="s">
        <v>2505</v>
      </c>
      <c r="M891" s="21"/>
      <c r="O891" s="21"/>
      <c r="P891" s="21"/>
      <c r="Q891" s="21" t="s">
        <v>2504</v>
      </c>
      <c r="R891" s="21"/>
      <c r="S891" s="27" t="s">
        <v>2505</v>
      </c>
      <c r="T891" s="13">
        <v>5200</v>
      </c>
      <c r="U891" s="23">
        <v>45031</v>
      </c>
      <c r="V891" s="23">
        <v>45402</v>
      </c>
      <c r="W891" s="13">
        <v>2600</v>
      </c>
      <c r="X891" s="16"/>
      <c r="Z891" s="27"/>
    </row>
    <row r="892" spans="1:26" ht="90" x14ac:dyDescent="0.25">
      <c r="A892" s="28">
        <v>0</v>
      </c>
      <c r="B892" s="21">
        <v>80204250585</v>
      </c>
      <c r="C892" s="22" t="s">
        <v>48</v>
      </c>
      <c r="D892" s="22" t="s">
        <v>2506</v>
      </c>
      <c r="E892" s="22" t="s">
        <v>108</v>
      </c>
      <c r="F892" s="21"/>
      <c r="G892" s="16"/>
      <c r="H892" s="21"/>
      <c r="I892" s="21"/>
      <c r="J892" s="21" t="s">
        <v>2236</v>
      </c>
      <c r="K892" s="21"/>
      <c r="L892" s="22" t="s">
        <v>2237</v>
      </c>
      <c r="M892" s="21"/>
      <c r="O892" s="21"/>
      <c r="P892" s="21"/>
      <c r="Q892" s="21" t="s">
        <v>2236</v>
      </c>
      <c r="R892" s="21"/>
      <c r="S892" s="21" t="s">
        <v>2237</v>
      </c>
      <c r="T892" s="13">
        <v>690</v>
      </c>
      <c r="U892" s="23">
        <v>45005</v>
      </c>
      <c r="V892" s="23">
        <v>45005</v>
      </c>
      <c r="W892" s="13">
        <v>690</v>
      </c>
      <c r="X892" s="16"/>
      <c r="Z892" s="27"/>
    </row>
    <row r="893" spans="1:26" ht="75" x14ac:dyDescent="0.25">
      <c r="A893" s="28">
        <v>0</v>
      </c>
      <c r="B893" s="21">
        <v>80204250585</v>
      </c>
      <c r="C893" s="22" t="s">
        <v>48</v>
      </c>
      <c r="D893" s="22" t="s">
        <v>2507</v>
      </c>
      <c r="E893" s="22" t="s">
        <v>108</v>
      </c>
      <c r="F893" s="21"/>
      <c r="G893" s="16"/>
      <c r="H893" s="21"/>
      <c r="I893" s="21"/>
      <c r="J893" s="21" t="s">
        <v>2218</v>
      </c>
      <c r="K893" s="21"/>
      <c r="L893" s="22" t="s">
        <v>2219</v>
      </c>
      <c r="M893" s="21"/>
      <c r="O893" s="21"/>
      <c r="P893" s="21"/>
      <c r="Q893" s="21" t="s">
        <v>2218</v>
      </c>
      <c r="R893" s="21"/>
      <c r="S893" s="21" t="s">
        <v>2219</v>
      </c>
      <c r="T893" s="13">
        <v>190</v>
      </c>
      <c r="U893" s="23">
        <v>44988</v>
      </c>
      <c r="V893" s="23">
        <v>44988</v>
      </c>
      <c r="W893" s="13">
        <v>190</v>
      </c>
      <c r="X893" s="16"/>
      <c r="Z893" s="27"/>
    </row>
    <row r="894" spans="1:26" ht="75" x14ac:dyDescent="0.25">
      <c r="A894" s="28">
        <v>0</v>
      </c>
      <c r="B894" s="21">
        <v>80204250585</v>
      </c>
      <c r="C894" s="22" t="s">
        <v>48</v>
      </c>
      <c r="D894" s="22" t="s">
        <v>2507</v>
      </c>
      <c r="E894" s="22" t="s">
        <v>108</v>
      </c>
      <c r="F894" s="21"/>
      <c r="G894" s="16"/>
      <c r="H894" s="21"/>
      <c r="I894" s="21"/>
      <c r="J894" s="21" t="s">
        <v>2218</v>
      </c>
      <c r="K894" s="21"/>
      <c r="L894" s="22" t="s">
        <v>2219</v>
      </c>
      <c r="M894" s="21"/>
      <c r="O894" s="21"/>
      <c r="P894" s="21"/>
      <c r="Q894" s="21" t="s">
        <v>2218</v>
      </c>
      <c r="R894" s="21"/>
      <c r="S894" s="21" t="s">
        <v>2219</v>
      </c>
      <c r="T894" s="13">
        <v>190</v>
      </c>
      <c r="U894" s="23">
        <v>44988</v>
      </c>
      <c r="V894" s="23">
        <v>44988</v>
      </c>
      <c r="W894" s="13">
        <v>190</v>
      </c>
      <c r="X894" s="16"/>
      <c r="Z894" s="27"/>
    </row>
    <row r="895" spans="1:26" ht="75" x14ac:dyDescent="0.25">
      <c r="A895" s="28">
        <v>0</v>
      </c>
      <c r="B895" s="21">
        <v>80204250585</v>
      </c>
      <c r="C895" s="22" t="s">
        <v>48</v>
      </c>
      <c r="D895" s="22" t="s">
        <v>2507</v>
      </c>
      <c r="E895" s="22" t="s">
        <v>108</v>
      </c>
      <c r="F895" s="21"/>
      <c r="G895" s="16"/>
      <c r="H895" s="21"/>
      <c r="I895" s="21"/>
      <c r="J895" s="21" t="s">
        <v>2218</v>
      </c>
      <c r="K895" s="21"/>
      <c r="L895" s="22" t="s">
        <v>2219</v>
      </c>
      <c r="M895" s="21"/>
      <c r="O895" s="21"/>
      <c r="P895" s="21"/>
      <c r="Q895" s="21" t="s">
        <v>2218</v>
      </c>
      <c r="R895" s="21"/>
      <c r="S895" s="21" t="s">
        <v>2219</v>
      </c>
      <c r="T895" s="13">
        <v>190</v>
      </c>
      <c r="U895" s="23">
        <v>44988</v>
      </c>
      <c r="V895" s="23">
        <v>44988</v>
      </c>
      <c r="W895" s="13">
        <v>190</v>
      </c>
      <c r="X895" s="16"/>
      <c r="Z895" s="27"/>
    </row>
    <row r="896" spans="1:26" ht="45" x14ac:dyDescent="0.25">
      <c r="A896" s="28">
        <v>0</v>
      </c>
      <c r="B896" s="21">
        <v>80204250585</v>
      </c>
      <c r="C896" s="22" t="s">
        <v>48</v>
      </c>
      <c r="D896" s="22" t="s">
        <v>2508</v>
      </c>
      <c r="E896" s="22" t="s">
        <v>108</v>
      </c>
      <c r="F896" s="21"/>
      <c r="G896" s="21"/>
      <c r="H896" s="21"/>
      <c r="I896" s="21"/>
      <c r="J896" s="21" t="s">
        <v>2374</v>
      </c>
      <c r="K896" s="21"/>
      <c r="L896" s="22" t="s">
        <v>2375</v>
      </c>
      <c r="M896" s="21"/>
      <c r="N896" s="21"/>
      <c r="O896" s="21"/>
      <c r="P896" s="21"/>
      <c r="Q896" s="21" t="s">
        <v>2374</v>
      </c>
      <c r="R896" s="21"/>
      <c r="S896" s="21" t="s">
        <v>2375</v>
      </c>
      <c r="T896" s="13">
        <v>460</v>
      </c>
      <c r="U896" s="23">
        <v>44993</v>
      </c>
      <c r="V896" s="23">
        <v>44993</v>
      </c>
      <c r="W896" s="13">
        <v>460</v>
      </c>
      <c r="X896" s="16"/>
      <c r="Z896" s="27"/>
    </row>
    <row r="897" spans="1:26" ht="180" x14ac:dyDescent="0.25">
      <c r="A897" s="28" t="s">
        <v>2509</v>
      </c>
      <c r="B897" s="21">
        <v>80204250585</v>
      </c>
      <c r="C897" s="22" t="s">
        <v>48</v>
      </c>
      <c r="D897" s="22" t="s">
        <v>2510</v>
      </c>
      <c r="E897" s="22" t="s">
        <v>108</v>
      </c>
      <c r="F897" s="21"/>
      <c r="G897" s="16"/>
      <c r="H897" s="21"/>
      <c r="I897" s="21"/>
      <c r="J897" s="21" t="s">
        <v>2218</v>
      </c>
      <c r="K897" s="21"/>
      <c r="L897" s="22" t="s">
        <v>2219</v>
      </c>
      <c r="M897" s="21"/>
      <c r="O897" s="21"/>
      <c r="P897" s="21"/>
      <c r="Q897" s="21" t="s">
        <v>2218</v>
      </c>
      <c r="R897" s="21"/>
      <c r="S897" s="21" t="s">
        <v>2219</v>
      </c>
      <c r="T897" s="13">
        <v>2800</v>
      </c>
      <c r="U897" s="23">
        <v>45054</v>
      </c>
      <c r="V897" s="23">
        <v>45072</v>
      </c>
      <c r="W897" s="13">
        <v>2800</v>
      </c>
      <c r="X897" s="16"/>
      <c r="Z897" s="27"/>
    </row>
    <row r="898" spans="1:26" ht="120" x14ac:dyDescent="0.25">
      <c r="A898" s="28">
        <v>0</v>
      </c>
      <c r="B898" s="21">
        <v>80204250585</v>
      </c>
      <c r="C898" s="22" t="s">
        <v>48</v>
      </c>
      <c r="D898" s="22" t="s">
        <v>2511</v>
      </c>
      <c r="E898" s="22" t="s">
        <v>108</v>
      </c>
      <c r="F898" s="21"/>
      <c r="G898" s="16"/>
      <c r="H898" s="21"/>
      <c r="I898" s="21"/>
      <c r="J898" s="21" t="s">
        <v>2236</v>
      </c>
      <c r="K898" s="21"/>
      <c r="L898" s="22" t="s">
        <v>2237</v>
      </c>
      <c r="M898" s="21"/>
      <c r="O898" s="21"/>
      <c r="P898" s="21"/>
      <c r="Q898" s="21" t="s">
        <v>2236</v>
      </c>
      <c r="R898" s="21"/>
      <c r="S898" s="21" t="s">
        <v>2237</v>
      </c>
      <c r="T898" s="13">
        <v>900</v>
      </c>
      <c r="U898" s="23">
        <v>44985</v>
      </c>
      <c r="V898" s="23">
        <v>44985</v>
      </c>
      <c r="W898" s="13">
        <v>900</v>
      </c>
      <c r="X898" s="16"/>
      <c r="Z898" s="27"/>
    </row>
    <row r="899" spans="1:26" ht="45" x14ac:dyDescent="0.25">
      <c r="A899" s="28">
        <v>0</v>
      </c>
      <c r="B899" s="21">
        <v>80204250585</v>
      </c>
      <c r="C899" s="22" t="s">
        <v>48</v>
      </c>
      <c r="D899" s="22" t="s">
        <v>2508</v>
      </c>
      <c r="E899" s="22" t="s">
        <v>108</v>
      </c>
      <c r="F899" s="21"/>
      <c r="G899" s="21"/>
      <c r="H899" s="21"/>
      <c r="I899" s="21"/>
      <c r="J899" s="21" t="s">
        <v>2374</v>
      </c>
      <c r="K899" s="21"/>
      <c r="L899" s="22" t="s">
        <v>2375</v>
      </c>
      <c r="M899" s="21"/>
      <c r="N899" s="21"/>
      <c r="O899" s="21"/>
      <c r="P899" s="21"/>
      <c r="Q899" s="21" t="s">
        <v>2374</v>
      </c>
      <c r="R899" s="21"/>
      <c r="S899" s="21" t="s">
        <v>2375</v>
      </c>
      <c r="T899" s="13">
        <v>460</v>
      </c>
      <c r="U899" s="23">
        <v>45034</v>
      </c>
      <c r="V899" s="23">
        <v>45034</v>
      </c>
      <c r="W899" s="13">
        <v>460</v>
      </c>
      <c r="X899" s="16"/>
      <c r="Z899" s="27"/>
    </row>
    <row r="900" spans="1:26" ht="75" x14ac:dyDescent="0.25">
      <c r="A900" s="28">
        <v>0</v>
      </c>
      <c r="B900" s="21">
        <v>80204250585</v>
      </c>
      <c r="C900" s="22" t="s">
        <v>48</v>
      </c>
      <c r="D900" s="22" t="s">
        <v>2507</v>
      </c>
      <c r="E900" s="22" t="s">
        <v>108</v>
      </c>
      <c r="F900" s="21"/>
      <c r="G900" s="16"/>
      <c r="H900" s="21"/>
      <c r="I900" s="21"/>
      <c r="J900" s="21" t="s">
        <v>2218</v>
      </c>
      <c r="K900" s="21"/>
      <c r="L900" s="22" t="s">
        <v>2219</v>
      </c>
      <c r="M900" s="21"/>
      <c r="O900" s="21"/>
      <c r="P900" s="21"/>
      <c r="Q900" s="21" t="s">
        <v>2218</v>
      </c>
      <c r="R900" s="21"/>
      <c r="S900" s="21" t="s">
        <v>2219</v>
      </c>
      <c r="T900" s="13">
        <v>190</v>
      </c>
      <c r="U900" s="23">
        <v>44988</v>
      </c>
      <c r="V900" s="23">
        <v>44988</v>
      </c>
      <c r="W900" s="13">
        <v>190</v>
      </c>
      <c r="X900" s="16"/>
      <c r="Z900" s="27"/>
    </row>
    <row r="901" spans="1:26" ht="75" x14ac:dyDescent="0.25">
      <c r="A901" s="28">
        <v>0</v>
      </c>
      <c r="B901" s="21">
        <v>80204250585</v>
      </c>
      <c r="C901" s="22" t="s">
        <v>48</v>
      </c>
      <c r="D901" s="22" t="s">
        <v>2507</v>
      </c>
      <c r="E901" s="22" t="s">
        <v>108</v>
      </c>
      <c r="F901" s="21"/>
      <c r="G901" s="16"/>
      <c r="H901" s="21"/>
      <c r="I901" s="21"/>
      <c r="J901" s="21" t="s">
        <v>2218</v>
      </c>
      <c r="K901" s="21"/>
      <c r="L901" s="22" t="s">
        <v>2219</v>
      </c>
      <c r="M901" s="21"/>
      <c r="O901" s="21"/>
      <c r="P901" s="21"/>
      <c r="Q901" s="21" t="s">
        <v>2218</v>
      </c>
      <c r="R901" s="21"/>
      <c r="S901" s="21" t="s">
        <v>2219</v>
      </c>
      <c r="T901" s="13">
        <v>190</v>
      </c>
      <c r="U901" s="23">
        <v>44988</v>
      </c>
      <c r="V901" s="23">
        <v>44988</v>
      </c>
      <c r="W901" s="13">
        <v>190</v>
      </c>
      <c r="X901" s="16"/>
      <c r="Z901" s="27"/>
    </row>
    <row r="902" spans="1:26" ht="75" x14ac:dyDescent="0.25">
      <c r="A902" s="28">
        <v>0</v>
      </c>
      <c r="B902" s="21">
        <v>80204250585</v>
      </c>
      <c r="C902" s="22" t="s">
        <v>48</v>
      </c>
      <c r="D902" s="22" t="s">
        <v>2512</v>
      </c>
      <c r="E902" s="22" t="s">
        <v>108</v>
      </c>
      <c r="F902" s="21"/>
      <c r="G902" s="21"/>
      <c r="H902" s="21"/>
      <c r="I902" s="21"/>
      <c r="J902" s="21" t="s">
        <v>2364</v>
      </c>
      <c r="K902" s="21"/>
      <c r="L902" s="22" t="s">
        <v>2365</v>
      </c>
      <c r="M902" s="21"/>
      <c r="N902" s="21"/>
      <c r="O902" s="21"/>
      <c r="P902" s="21"/>
      <c r="Q902" s="21" t="s">
        <v>2364</v>
      </c>
      <c r="R902" s="21"/>
      <c r="S902" s="21" t="s">
        <v>2365</v>
      </c>
      <c r="T902" s="13">
        <v>1400</v>
      </c>
      <c r="U902" s="23">
        <v>45012</v>
      </c>
      <c r="V902" s="23">
        <v>45013</v>
      </c>
      <c r="W902" s="13">
        <v>1400</v>
      </c>
      <c r="X902" s="16"/>
      <c r="Z902" s="27"/>
    </row>
    <row r="903" spans="1:26" ht="90" x14ac:dyDescent="0.25">
      <c r="A903" s="28">
        <v>0</v>
      </c>
      <c r="B903" s="21">
        <v>80204250585</v>
      </c>
      <c r="C903" s="22" t="s">
        <v>48</v>
      </c>
      <c r="D903" s="22" t="s">
        <v>2513</v>
      </c>
      <c r="E903" s="22" t="s">
        <v>108</v>
      </c>
      <c r="F903" s="21"/>
      <c r="G903" s="16"/>
      <c r="H903" s="21"/>
      <c r="I903" s="21"/>
      <c r="J903" s="21" t="s">
        <v>2290</v>
      </c>
      <c r="K903" s="21"/>
      <c r="L903" s="22" t="s">
        <v>2291</v>
      </c>
      <c r="M903" s="21"/>
      <c r="O903" s="21"/>
      <c r="P903" s="21"/>
      <c r="Q903" s="21" t="s">
        <v>2290</v>
      </c>
      <c r="R903" s="21"/>
      <c r="S903" s="21" t="s">
        <v>2291</v>
      </c>
      <c r="T903" s="13">
        <v>5400</v>
      </c>
      <c r="U903" s="23">
        <v>45057</v>
      </c>
      <c r="V903" s="23">
        <v>45247</v>
      </c>
      <c r="W903" s="13">
        <v>5400</v>
      </c>
      <c r="X903" s="16"/>
      <c r="Z903" s="27"/>
    </row>
    <row r="904" spans="1:26" ht="60" x14ac:dyDescent="0.25">
      <c r="A904" s="28">
        <v>0</v>
      </c>
      <c r="B904" s="21">
        <v>80204250585</v>
      </c>
      <c r="C904" s="22" t="s">
        <v>48</v>
      </c>
      <c r="D904" s="22" t="s">
        <v>2514</v>
      </c>
      <c r="E904" s="22" t="s">
        <v>108</v>
      </c>
      <c r="F904" s="21"/>
      <c r="G904" s="16"/>
      <c r="H904" s="21"/>
      <c r="I904" s="21"/>
      <c r="J904" s="21" t="s">
        <v>2515</v>
      </c>
      <c r="K904" s="21"/>
      <c r="L904" s="22" t="s">
        <v>2516</v>
      </c>
      <c r="M904" s="21"/>
      <c r="O904" s="21"/>
      <c r="P904" s="21"/>
      <c r="Q904" s="21" t="s">
        <v>2515</v>
      </c>
      <c r="R904" s="21"/>
      <c r="S904" s="22" t="s">
        <v>2516</v>
      </c>
      <c r="T904" s="13">
        <v>25</v>
      </c>
      <c r="U904" s="23">
        <v>45020</v>
      </c>
      <c r="V904" s="23">
        <v>45020</v>
      </c>
      <c r="W904" s="13">
        <v>0</v>
      </c>
      <c r="X904" s="16"/>
      <c r="Z904" s="27"/>
    </row>
    <row r="905" spans="1:26" ht="90" x14ac:dyDescent="0.25">
      <c r="A905" s="28">
        <v>0</v>
      </c>
      <c r="B905" s="21">
        <v>80204250585</v>
      </c>
      <c r="C905" s="22" t="s">
        <v>48</v>
      </c>
      <c r="D905" s="22" t="s">
        <v>2517</v>
      </c>
      <c r="E905" s="22" t="s">
        <v>108</v>
      </c>
      <c r="F905" s="21"/>
      <c r="G905" s="16"/>
      <c r="H905" s="21"/>
      <c r="I905" s="21"/>
      <c r="J905" s="21" t="s">
        <v>2515</v>
      </c>
      <c r="K905" s="21"/>
      <c r="L905" s="22" t="s">
        <v>2516</v>
      </c>
      <c r="M905" s="21"/>
      <c r="O905" s="21"/>
      <c r="P905" s="21"/>
      <c r="Q905" s="21" t="s">
        <v>2515</v>
      </c>
      <c r="R905" s="21"/>
      <c r="S905" s="22" t="s">
        <v>2516</v>
      </c>
      <c r="T905" s="13">
        <v>25</v>
      </c>
      <c r="U905" s="23">
        <v>45009</v>
      </c>
      <c r="V905" s="23">
        <v>45009</v>
      </c>
      <c r="W905" s="13">
        <v>0</v>
      </c>
      <c r="X905" s="16"/>
      <c r="Z905" s="27"/>
    </row>
    <row r="906" spans="1:26" ht="75" x14ac:dyDescent="0.25">
      <c r="A906" s="28">
        <v>0</v>
      </c>
      <c r="B906" s="21">
        <v>80204250585</v>
      </c>
      <c r="C906" s="22" t="s">
        <v>48</v>
      </c>
      <c r="D906" s="22" t="s">
        <v>2518</v>
      </c>
      <c r="E906" s="22" t="s">
        <v>108</v>
      </c>
      <c r="F906" s="21"/>
      <c r="G906" s="16"/>
      <c r="H906" s="21"/>
      <c r="I906" s="21"/>
      <c r="J906" s="21" t="s">
        <v>2236</v>
      </c>
      <c r="K906" s="21"/>
      <c r="L906" s="22" t="s">
        <v>2237</v>
      </c>
      <c r="M906" s="21"/>
      <c r="O906" s="21"/>
      <c r="P906" s="21"/>
      <c r="Q906" s="21" t="s">
        <v>2236</v>
      </c>
      <c r="R906" s="21"/>
      <c r="S906" s="21" t="s">
        <v>2237</v>
      </c>
      <c r="T906" s="13">
        <v>690</v>
      </c>
      <c r="U906" s="23">
        <v>45019</v>
      </c>
      <c r="V906" s="23">
        <v>45019</v>
      </c>
      <c r="W906" s="13">
        <v>690</v>
      </c>
      <c r="X906" s="16"/>
      <c r="Z906" s="27"/>
    </row>
    <row r="907" spans="1:26" ht="120" x14ac:dyDescent="0.25">
      <c r="A907" s="28">
        <v>0</v>
      </c>
      <c r="B907" s="21">
        <v>80204250585</v>
      </c>
      <c r="C907" s="22" t="s">
        <v>48</v>
      </c>
      <c r="D907" s="22" t="s">
        <v>2519</v>
      </c>
      <c r="E907" s="22" t="s">
        <v>108</v>
      </c>
      <c r="F907" s="21"/>
      <c r="G907" s="16"/>
      <c r="H907" s="21"/>
      <c r="I907" s="21"/>
      <c r="J907" s="21" t="s">
        <v>2268</v>
      </c>
      <c r="K907" s="21"/>
      <c r="L907" s="27" t="s">
        <v>2269</v>
      </c>
      <c r="M907" s="21"/>
      <c r="O907" s="21"/>
      <c r="P907" s="21"/>
      <c r="Q907" s="21" t="s">
        <v>2268</v>
      </c>
      <c r="R907" s="21"/>
      <c r="S907" s="27" t="s">
        <v>2269</v>
      </c>
      <c r="T907" s="13">
        <v>310</v>
      </c>
      <c r="U907" s="23">
        <v>45030</v>
      </c>
      <c r="V907" s="23">
        <v>45037</v>
      </c>
      <c r="W907" s="13">
        <v>279</v>
      </c>
      <c r="X907" s="16"/>
      <c r="Z907" s="27"/>
    </row>
    <row r="908" spans="1:26" ht="120" x14ac:dyDescent="0.25">
      <c r="A908" s="28">
        <v>0</v>
      </c>
      <c r="B908" s="21">
        <v>80204250585</v>
      </c>
      <c r="C908" s="22" t="s">
        <v>48</v>
      </c>
      <c r="D908" s="22" t="s">
        <v>2519</v>
      </c>
      <c r="E908" s="22" t="s">
        <v>108</v>
      </c>
      <c r="F908" s="21"/>
      <c r="G908" s="16"/>
      <c r="H908" s="21"/>
      <c r="I908" s="21"/>
      <c r="J908" s="21" t="s">
        <v>2268</v>
      </c>
      <c r="K908" s="21"/>
      <c r="L908" s="27" t="s">
        <v>2269</v>
      </c>
      <c r="M908" s="21"/>
      <c r="O908" s="21"/>
      <c r="P908" s="21"/>
      <c r="Q908" s="21" t="s">
        <v>2268</v>
      </c>
      <c r="R908" s="21"/>
      <c r="S908" s="27" t="s">
        <v>2269</v>
      </c>
      <c r="T908" s="13">
        <v>310</v>
      </c>
      <c r="U908" s="23">
        <v>45030</v>
      </c>
      <c r="V908" s="23">
        <v>45037</v>
      </c>
      <c r="W908" s="13">
        <v>310</v>
      </c>
      <c r="X908" s="16"/>
      <c r="Z908" s="27"/>
    </row>
    <row r="909" spans="1:26" ht="60" x14ac:dyDescent="0.25">
      <c r="A909" s="28">
        <v>0</v>
      </c>
      <c r="B909" s="21">
        <v>80204250585</v>
      </c>
      <c r="C909" s="22" t="s">
        <v>48</v>
      </c>
      <c r="D909" s="22" t="s">
        <v>2520</v>
      </c>
      <c r="E909" s="22" t="s">
        <v>108</v>
      </c>
      <c r="F909" s="21"/>
      <c r="G909" s="16"/>
      <c r="H909" s="21"/>
      <c r="I909" s="21"/>
      <c r="J909" s="21" t="s">
        <v>2521</v>
      </c>
      <c r="K909" s="21"/>
      <c r="L909" s="27" t="s">
        <v>2522</v>
      </c>
      <c r="M909" s="21"/>
      <c r="O909" s="21"/>
      <c r="P909" s="21"/>
      <c r="Q909" s="21" t="s">
        <v>2521</v>
      </c>
      <c r="R909" s="21"/>
      <c r="S909" s="27" t="s">
        <v>2522</v>
      </c>
      <c r="T909" s="13">
        <v>60</v>
      </c>
      <c r="U909" s="23">
        <v>45008</v>
      </c>
      <c r="V909" s="23">
        <v>45008</v>
      </c>
      <c r="W909" s="13">
        <v>60</v>
      </c>
      <c r="X909" s="16"/>
      <c r="Z909" s="27"/>
    </row>
    <row r="910" spans="1:26" ht="60" x14ac:dyDescent="0.25">
      <c r="A910" s="28">
        <v>0</v>
      </c>
      <c r="B910" s="21">
        <v>80204250585</v>
      </c>
      <c r="C910" s="22" t="s">
        <v>48</v>
      </c>
      <c r="D910" s="22" t="s">
        <v>2520</v>
      </c>
      <c r="E910" s="22" t="s">
        <v>108</v>
      </c>
      <c r="F910" s="21"/>
      <c r="G910" s="16"/>
      <c r="H910" s="21"/>
      <c r="I910" s="21"/>
      <c r="J910" s="21" t="s">
        <v>2521</v>
      </c>
      <c r="K910" s="21"/>
      <c r="L910" s="27" t="s">
        <v>2522</v>
      </c>
      <c r="M910" s="21"/>
      <c r="O910" s="21"/>
      <c r="P910" s="21"/>
      <c r="Q910" s="21" t="s">
        <v>2521</v>
      </c>
      <c r="R910" s="21"/>
      <c r="S910" s="27" t="s">
        <v>2522</v>
      </c>
      <c r="T910" s="13">
        <v>60</v>
      </c>
      <c r="U910" s="23">
        <v>45008</v>
      </c>
      <c r="V910" s="23">
        <v>45008</v>
      </c>
      <c r="W910" s="13">
        <v>60</v>
      </c>
      <c r="X910" s="16"/>
      <c r="Z910" s="27"/>
    </row>
    <row r="911" spans="1:26" ht="120" x14ac:dyDescent="0.25">
      <c r="A911" s="28">
        <v>0</v>
      </c>
      <c r="B911" s="21">
        <v>80204250585</v>
      </c>
      <c r="C911" s="22" t="s">
        <v>48</v>
      </c>
      <c r="D911" s="22" t="s">
        <v>2519</v>
      </c>
      <c r="E911" s="22" t="s">
        <v>108</v>
      </c>
      <c r="F911" s="21"/>
      <c r="G911" s="16"/>
      <c r="H911" s="21"/>
      <c r="I911" s="21"/>
      <c r="J911" s="21" t="s">
        <v>2268</v>
      </c>
      <c r="K911" s="21"/>
      <c r="L911" s="27" t="s">
        <v>2269</v>
      </c>
      <c r="M911" s="21"/>
      <c r="O911" s="21"/>
      <c r="P911" s="21"/>
      <c r="Q911" s="21" t="s">
        <v>2268</v>
      </c>
      <c r="R911" s="21"/>
      <c r="S911" s="27" t="s">
        <v>2269</v>
      </c>
      <c r="T911" s="13">
        <v>310</v>
      </c>
      <c r="U911" s="23">
        <v>45030</v>
      </c>
      <c r="V911" s="23">
        <v>45037</v>
      </c>
      <c r="W911" s="13">
        <v>310</v>
      </c>
      <c r="X911" s="16"/>
      <c r="Z911" s="27"/>
    </row>
    <row r="912" spans="1:26" ht="60" x14ac:dyDescent="0.25">
      <c r="A912" s="28">
        <v>0</v>
      </c>
      <c r="B912" s="21">
        <v>80204250585</v>
      </c>
      <c r="C912" s="22" t="s">
        <v>48</v>
      </c>
      <c r="D912" s="22" t="s">
        <v>2520</v>
      </c>
      <c r="E912" s="22" t="s">
        <v>108</v>
      </c>
      <c r="F912" s="21"/>
      <c r="G912" s="16"/>
      <c r="H912" s="21"/>
      <c r="I912" s="21"/>
      <c r="J912" s="21" t="s">
        <v>2521</v>
      </c>
      <c r="K912" s="21"/>
      <c r="L912" s="27" t="s">
        <v>2522</v>
      </c>
      <c r="M912" s="21"/>
      <c r="O912" s="21"/>
      <c r="P912" s="21"/>
      <c r="Q912" s="21" t="s">
        <v>2521</v>
      </c>
      <c r="R912" s="21"/>
      <c r="S912" s="27" t="s">
        <v>2522</v>
      </c>
      <c r="T912" s="13">
        <v>60</v>
      </c>
      <c r="U912" s="23">
        <v>45022</v>
      </c>
      <c r="V912" s="23">
        <v>45022</v>
      </c>
      <c r="W912" s="13">
        <v>60</v>
      </c>
      <c r="X912" s="16"/>
      <c r="Z912" s="27"/>
    </row>
    <row r="913" spans="1:26" ht="120" x14ac:dyDescent="0.25">
      <c r="A913" s="28">
        <v>0</v>
      </c>
      <c r="B913" s="21">
        <v>80204250585</v>
      </c>
      <c r="C913" s="22" t="s">
        <v>48</v>
      </c>
      <c r="D913" s="22" t="s">
        <v>2519</v>
      </c>
      <c r="E913" s="22" t="s">
        <v>108</v>
      </c>
      <c r="F913" s="21"/>
      <c r="G913" s="16"/>
      <c r="H913" s="21"/>
      <c r="I913" s="21"/>
      <c r="J913" s="21" t="s">
        <v>2268</v>
      </c>
      <c r="K913" s="21"/>
      <c r="L913" s="27" t="s">
        <v>2269</v>
      </c>
      <c r="M913" s="21"/>
      <c r="O913" s="21"/>
      <c r="P913" s="21"/>
      <c r="Q913" s="21" t="s">
        <v>2268</v>
      </c>
      <c r="R913" s="21"/>
      <c r="S913" s="27" t="s">
        <v>2269</v>
      </c>
      <c r="T913" s="13">
        <v>310</v>
      </c>
      <c r="U913" s="23">
        <v>45030</v>
      </c>
      <c r="V913" s="23">
        <v>45037</v>
      </c>
      <c r="W913" s="13">
        <v>310</v>
      </c>
      <c r="X913" s="16"/>
      <c r="Z913" s="27"/>
    </row>
    <row r="914" spans="1:26" ht="120" x14ac:dyDescent="0.25">
      <c r="A914" s="28">
        <v>0</v>
      </c>
      <c r="B914" s="21">
        <v>80204250585</v>
      </c>
      <c r="C914" s="22" t="s">
        <v>48</v>
      </c>
      <c r="D914" s="22" t="s">
        <v>2519</v>
      </c>
      <c r="E914" s="22" t="s">
        <v>108</v>
      </c>
      <c r="F914" s="21"/>
      <c r="G914" s="16"/>
      <c r="H914" s="21"/>
      <c r="I914" s="21"/>
      <c r="J914" s="21" t="s">
        <v>2268</v>
      </c>
      <c r="K914" s="21"/>
      <c r="L914" s="27" t="s">
        <v>2269</v>
      </c>
      <c r="M914" s="21"/>
      <c r="O914" s="21"/>
      <c r="P914" s="21"/>
      <c r="Q914" s="21" t="s">
        <v>2268</v>
      </c>
      <c r="R914" s="21"/>
      <c r="S914" s="27" t="s">
        <v>2269</v>
      </c>
      <c r="T914" s="13">
        <v>310</v>
      </c>
      <c r="U914" s="23">
        <v>45030</v>
      </c>
      <c r="V914" s="23">
        <v>45037</v>
      </c>
      <c r="W914" s="13">
        <v>310</v>
      </c>
      <c r="X914" s="16"/>
      <c r="Z914" s="27"/>
    </row>
    <row r="915" spans="1:26" ht="75" x14ac:dyDescent="0.25">
      <c r="A915" s="28">
        <v>0</v>
      </c>
      <c r="B915" s="21">
        <v>80204250585</v>
      </c>
      <c r="C915" s="22" t="s">
        <v>48</v>
      </c>
      <c r="D915" s="22" t="s">
        <v>2523</v>
      </c>
      <c r="E915" s="22" t="s">
        <v>108</v>
      </c>
      <c r="F915" s="21"/>
      <c r="G915" s="21"/>
      <c r="H915" s="21"/>
      <c r="I915" s="21"/>
      <c r="J915" s="21" t="s">
        <v>2364</v>
      </c>
      <c r="K915" s="21"/>
      <c r="L915" s="22" t="s">
        <v>2365</v>
      </c>
      <c r="M915" s="21"/>
      <c r="N915" s="21"/>
      <c r="O915" s="21"/>
      <c r="P915" s="21"/>
      <c r="Q915" s="21" t="s">
        <v>2364</v>
      </c>
      <c r="R915" s="21"/>
      <c r="S915" s="22" t="s">
        <v>2365</v>
      </c>
      <c r="T915" s="13">
        <v>1300</v>
      </c>
      <c r="U915" s="23">
        <v>45033</v>
      </c>
      <c r="V915" s="23">
        <v>45034</v>
      </c>
      <c r="W915" s="13">
        <v>0</v>
      </c>
      <c r="X915" s="16"/>
      <c r="Z915" s="27"/>
    </row>
    <row r="916" spans="1:26" ht="60" x14ac:dyDescent="0.25">
      <c r="A916" s="28">
        <v>0</v>
      </c>
      <c r="B916" s="21">
        <v>80204250585</v>
      </c>
      <c r="C916" s="22" t="s">
        <v>48</v>
      </c>
      <c r="D916" s="22" t="s">
        <v>2520</v>
      </c>
      <c r="E916" s="22" t="s">
        <v>108</v>
      </c>
      <c r="F916" s="21"/>
      <c r="G916" s="16"/>
      <c r="H916" s="21"/>
      <c r="I916" s="21"/>
      <c r="J916" s="21" t="s">
        <v>2521</v>
      </c>
      <c r="K916" s="21"/>
      <c r="L916" s="27" t="s">
        <v>2522</v>
      </c>
      <c r="M916" s="21"/>
      <c r="O916" s="21"/>
      <c r="P916" s="21"/>
      <c r="Q916" s="21" t="s">
        <v>2521</v>
      </c>
      <c r="R916" s="21"/>
      <c r="S916" s="27" t="s">
        <v>2522</v>
      </c>
      <c r="T916" s="13">
        <v>60</v>
      </c>
      <c r="U916" s="23">
        <v>45022</v>
      </c>
      <c r="V916" s="23">
        <v>45022</v>
      </c>
      <c r="W916" s="13">
        <v>60</v>
      </c>
      <c r="X916" s="16"/>
      <c r="Z916" s="27"/>
    </row>
    <row r="917" spans="1:26" ht="90" x14ac:dyDescent="0.25">
      <c r="A917" s="28">
        <v>0</v>
      </c>
      <c r="B917" s="21">
        <v>80204250585</v>
      </c>
      <c r="C917" s="22" t="s">
        <v>48</v>
      </c>
      <c r="D917" s="22" t="s">
        <v>2524</v>
      </c>
      <c r="E917" s="22" t="s">
        <v>108</v>
      </c>
      <c r="F917" s="21"/>
      <c r="G917" s="21"/>
      <c r="H917" s="21"/>
      <c r="I917" s="21"/>
      <c r="J917" s="21" t="s">
        <v>2236</v>
      </c>
      <c r="K917" s="21"/>
      <c r="L917" s="87" t="s">
        <v>2237</v>
      </c>
      <c r="M917" s="16"/>
      <c r="O917" s="21"/>
      <c r="P917" s="21"/>
      <c r="Q917" s="21" t="s">
        <v>2236</v>
      </c>
      <c r="R917" s="21"/>
      <c r="S917" s="87" t="s">
        <v>2237</v>
      </c>
      <c r="T917" s="13">
        <v>3000</v>
      </c>
      <c r="U917" s="23">
        <v>45027</v>
      </c>
      <c r="V917" s="23">
        <v>45027</v>
      </c>
      <c r="W917" s="13">
        <v>2800</v>
      </c>
      <c r="X917" s="16"/>
      <c r="Z917" s="27"/>
    </row>
    <row r="918" spans="1:26" ht="45" x14ac:dyDescent="0.25">
      <c r="A918" s="28">
        <v>0</v>
      </c>
      <c r="B918" s="21">
        <v>80204250585</v>
      </c>
      <c r="C918" s="22" t="s">
        <v>48</v>
      </c>
      <c r="D918" s="22" t="s">
        <v>2525</v>
      </c>
      <c r="E918" s="22" t="s">
        <v>108</v>
      </c>
      <c r="F918" s="21"/>
      <c r="G918" s="21"/>
      <c r="H918" s="21"/>
      <c r="I918" s="21"/>
      <c r="J918" s="24">
        <v>14966731003</v>
      </c>
      <c r="K918" s="21"/>
      <c r="L918" s="87" t="s">
        <v>2526</v>
      </c>
      <c r="M918" s="16"/>
      <c r="O918" s="21"/>
      <c r="P918" s="21"/>
      <c r="Q918" s="24">
        <v>14966731003</v>
      </c>
      <c r="R918" s="21"/>
      <c r="S918" s="87" t="s">
        <v>2526</v>
      </c>
      <c r="T918" s="13">
        <v>1000</v>
      </c>
      <c r="U918" s="23">
        <v>45019</v>
      </c>
      <c r="V918" s="23">
        <v>45077</v>
      </c>
      <c r="W918" s="13">
        <v>1000</v>
      </c>
      <c r="X918" s="16"/>
      <c r="Z918" s="27"/>
    </row>
    <row r="919" spans="1:26" ht="75" x14ac:dyDescent="0.25">
      <c r="A919" s="28">
        <v>0</v>
      </c>
      <c r="B919" s="21">
        <v>80204250585</v>
      </c>
      <c r="C919" s="22" t="s">
        <v>48</v>
      </c>
      <c r="D919" s="22" t="s">
        <v>2527</v>
      </c>
      <c r="E919" s="22" t="s">
        <v>108</v>
      </c>
      <c r="F919" s="21"/>
      <c r="G919" s="21"/>
      <c r="H919" s="21"/>
      <c r="I919" s="21"/>
      <c r="J919" s="21" t="s">
        <v>2374</v>
      </c>
      <c r="K919" s="21"/>
      <c r="L919" s="22" t="s">
        <v>2375</v>
      </c>
      <c r="M919" s="21"/>
      <c r="N919" s="21"/>
      <c r="O919" s="21"/>
      <c r="P919" s="21"/>
      <c r="Q919" s="21" t="s">
        <v>2374</v>
      </c>
      <c r="R919" s="21"/>
      <c r="S919" s="22" t="s">
        <v>2375</v>
      </c>
      <c r="T919" s="13">
        <v>520</v>
      </c>
      <c r="U919" s="23">
        <v>45030</v>
      </c>
      <c r="V919" s="23">
        <v>45033</v>
      </c>
      <c r="W919" s="13">
        <v>520</v>
      </c>
      <c r="X919" s="16"/>
      <c r="Z919" s="27"/>
    </row>
    <row r="920" spans="1:26" ht="75" x14ac:dyDescent="0.25">
      <c r="A920" s="28">
        <v>0</v>
      </c>
      <c r="B920" s="21">
        <v>80204250585</v>
      </c>
      <c r="C920" s="22" t="s">
        <v>48</v>
      </c>
      <c r="D920" s="22" t="s">
        <v>2527</v>
      </c>
      <c r="E920" s="22" t="s">
        <v>108</v>
      </c>
      <c r="F920" s="21"/>
      <c r="G920" s="21"/>
      <c r="H920" s="21"/>
      <c r="I920" s="21"/>
      <c r="J920" s="21" t="s">
        <v>2374</v>
      </c>
      <c r="K920" s="21"/>
      <c r="L920" s="22" t="s">
        <v>2375</v>
      </c>
      <c r="M920" s="21"/>
      <c r="N920" s="21"/>
      <c r="O920" s="21"/>
      <c r="P920" s="21"/>
      <c r="Q920" s="21" t="s">
        <v>2374</v>
      </c>
      <c r="R920" s="21"/>
      <c r="S920" s="22" t="s">
        <v>2375</v>
      </c>
      <c r="T920" s="13">
        <v>520</v>
      </c>
      <c r="U920" s="23">
        <v>45030</v>
      </c>
      <c r="V920" s="23">
        <v>45033</v>
      </c>
      <c r="W920" s="13">
        <v>520</v>
      </c>
      <c r="X920" s="16"/>
      <c r="Z920" s="27"/>
    </row>
    <row r="921" spans="1:26" ht="75" x14ac:dyDescent="0.25">
      <c r="A921" s="28">
        <v>0</v>
      </c>
      <c r="B921" s="21">
        <v>80204250585</v>
      </c>
      <c r="C921" s="22" t="s">
        <v>48</v>
      </c>
      <c r="D921" s="22" t="s">
        <v>2527</v>
      </c>
      <c r="E921" s="22" t="s">
        <v>108</v>
      </c>
      <c r="F921" s="21"/>
      <c r="G921" s="21"/>
      <c r="H921" s="21"/>
      <c r="I921" s="21"/>
      <c r="J921" s="21" t="s">
        <v>2374</v>
      </c>
      <c r="K921" s="21"/>
      <c r="L921" s="22" t="s">
        <v>2375</v>
      </c>
      <c r="M921" s="21"/>
      <c r="N921" s="21"/>
      <c r="O921" s="21"/>
      <c r="P921" s="21"/>
      <c r="Q921" s="21" t="s">
        <v>2374</v>
      </c>
      <c r="R921" s="21"/>
      <c r="S921" s="22" t="s">
        <v>2375</v>
      </c>
      <c r="T921" s="13">
        <v>260</v>
      </c>
      <c r="U921" s="23">
        <v>45030</v>
      </c>
      <c r="V921" s="23">
        <v>45033</v>
      </c>
      <c r="W921" s="13">
        <v>260</v>
      </c>
      <c r="X921" s="16"/>
      <c r="Z921" s="27"/>
    </row>
    <row r="922" spans="1:26" ht="60" x14ac:dyDescent="0.25">
      <c r="A922" s="28">
        <v>0</v>
      </c>
      <c r="B922" s="21">
        <v>80204250585</v>
      </c>
      <c r="C922" s="22" t="s">
        <v>48</v>
      </c>
      <c r="D922" s="22" t="s">
        <v>2528</v>
      </c>
      <c r="E922" s="22" t="s">
        <v>108</v>
      </c>
      <c r="F922" s="21"/>
      <c r="G922" s="16"/>
      <c r="H922" s="21"/>
      <c r="I922" s="21"/>
      <c r="J922" s="21" t="s">
        <v>2262</v>
      </c>
      <c r="K922" s="21"/>
      <c r="L922" s="22" t="s">
        <v>2263</v>
      </c>
      <c r="M922" s="21"/>
      <c r="N922" s="21"/>
      <c r="O922" s="21"/>
      <c r="P922" s="21"/>
      <c r="Q922" s="21" t="s">
        <v>2262</v>
      </c>
      <c r="R922" s="21"/>
      <c r="S922" s="22" t="s">
        <v>2263</v>
      </c>
      <c r="T922" s="13">
        <v>9700</v>
      </c>
      <c r="U922" s="23">
        <v>45019</v>
      </c>
      <c r="V922" s="23">
        <v>45224</v>
      </c>
      <c r="W922" s="13">
        <v>9000</v>
      </c>
      <c r="X922" s="16"/>
      <c r="Z922" s="27"/>
    </row>
    <row r="923" spans="1:26" ht="75" x14ac:dyDescent="0.25">
      <c r="A923" s="28">
        <v>0</v>
      </c>
      <c r="B923" s="21">
        <v>80204250585</v>
      </c>
      <c r="C923" s="22" t="s">
        <v>48</v>
      </c>
      <c r="D923" s="22" t="s">
        <v>2529</v>
      </c>
      <c r="E923" s="22" t="s">
        <v>108</v>
      </c>
      <c r="F923" s="21"/>
      <c r="G923" s="16"/>
      <c r="H923" s="21"/>
      <c r="I923" s="21"/>
      <c r="J923" s="21" t="s">
        <v>2268</v>
      </c>
      <c r="K923" s="21"/>
      <c r="L923" s="27" t="s">
        <v>2269</v>
      </c>
      <c r="M923" s="21"/>
      <c r="O923" s="21"/>
      <c r="P923" s="21"/>
      <c r="Q923" s="21" t="s">
        <v>2268</v>
      </c>
      <c r="R923" s="21"/>
      <c r="S923" s="27" t="s">
        <v>2269</v>
      </c>
      <c r="T923" s="13">
        <v>310</v>
      </c>
      <c r="U923" s="23">
        <v>45051</v>
      </c>
      <c r="V923" s="23">
        <v>45063</v>
      </c>
      <c r="W923" s="13">
        <v>310</v>
      </c>
      <c r="X923" s="16"/>
      <c r="Z923" s="27"/>
    </row>
    <row r="924" spans="1:26" ht="45" x14ac:dyDescent="0.25">
      <c r="A924" s="28">
        <v>0</v>
      </c>
      <c r="B924" s="21">
        <v>80204250585</v>
      </c>
      <c r="C924" s="22" t="s">
        <v>48</v>
      </c>
      <c r="D924" s="22" t="s">
        <v>2530</v>
      </c>
      <c r="E924" s="22" t="s">
        <v>108</v>
      </c>
      <c r="F924" s="21"/>
      <c r="G924" s="21"/>
      <c r="H924" s="21"/>
      <c r="I924" s="21"/>
      <c r="J924" s="21" t="s">
        <v>2374</v>
      </c>
      <c r="K924" s="21"/>
      <c r="L924" s="22" t="s">
        <v>2375</v>
      </c>
      <c r="M924" s="21"/>
      <c r="N924" s="21"/>
      <c r="O924" s="21"/>
      <c r="P924" s="21"/>
      <c r="Q924" s="21" t="s">
        <v>2374</v>
      </c>
      <c r="R924" s="21"/>
      <c r="S924" s="22" t="s">
        <v>2375</v>
      </c>
      <c r="T924" s="13">
        <v>364</v>
      </c>
      <c r="U924" s="23">
        <v>45030</v>
      </c>
      <c r="V924" s="23">
        <v>45033</v>
      </c>
      <c r="W924" s="13">
        <v>364</v>
      </c>
      <c r="X924" s="16"/>
      <c r="Z924" s="27"/>
    </row>
    <row r="925" spans="1:26" ht="45" x14ac:dyDescent="0.25">
      <c r="A925" s="28">
        <v>0</v>
      </c>
      <c r="B925" s="21">
        <v>80204250585</v>
      </c>
      <c r="C925" s="22" t="s">
        <v>48</v>
      </c>
      <c r="D925" s="22" t="s">
        <v>2530</v>
      </c>
      <c r="E925" s="22" t="s">
        <v>108</v>
      </c>
      <c r="F925" s="21"/>
      <c r="G925" s="21"/>
      <c r="H925" s="21"/>
      <c r="I925" s="21"/>
      <c r="J925" s="21" t="s">
        <v>2374</v>
      </c>
      <c r="K925" s="21"/>
      <c r="L925" s="22" t="s">
        <v>2375</v>
      </c>
      <c r="M925" s="21"/>
      <c r="N925" s="21"/>
      <c r="O925" s="21"/>
      <c r="P925" s="21"/>
      <c r="Q925" s="21" t="s">
        <v>2374</v>
      </c>
      <c r="R925" s="21"/>
      <c r="S925" s="22" t="s">
        <v>2375</v>
      </c>
      <c r="T925" s="13">
        <v>364</v>
      </c>
      <c r="U925" s="23">
        <v>45030</v>
      </c>
      <c r="V925" s="23">
        <v>45033</v>
      </c>
      <c r="W925" s="13">
        <v>364</v>
      </c>
      <c r="X925" s="16"/>
      <c r="Z925" s="27"/>
    </row>
    <row r="926" spans="1:26" ht="45" x14ac:dyDescent="0.25">
      <c r="A926" s="28">
        <v>0</v>
      </c>
      <c r="B926" s="21">
        <v>80204250585</v>
      </c>
      <c r="C926" s="22" t="s">
        <v>48</v>
      </c>
      <c r="D926" s="22" t="s">
        <v>2530</v>
      </c>
      <c r="E926" s="22" t="s">
        <v>108</v>
      </c>
      <c r="F926" s="21"/>
      <c r="G926" s="21"/>
      <c r="H926" s="21"/>
      <c r="I926" s="21"/>
      <c r="J926" s="21" t="s">
        <v>2374</v>
      </c>
      <c r="K926" s="21"/>
      <c r="L926" s="22" t="s">
        <v>2375</v>
      </c>
      <c r="M926" s="21"/>
      <c r="N926" s="21"/>
      <c r="O926" s="21"/>
      <c r="P926" s="21"/>
      <c r="Q926" s="21" t="s">
        <v>2374</v>
      </c>
      <c r="R926" s="21"/>
      <c r="S926" s="22" t="s">
        <v>2375</v>
      </c>
      <c r="T926" s="13">
        <v>364</v>
      </c>
      <c r="U926" s="23">
        <v>45030</v>
      </c>
      <c r="V926" s="23">
        <v>45033</v>
      </c>
      <c r="W926" s="13">
        <v>364</v>
      </c>
      <c r="X926" s="16"/>
      <c r="Z926" s="27"/>
    </row>
    <row r="927" spans="1:26" ht="45" x14ac:dyDescent="0.25">
      <c r="A927" s="28">
        <v>0</v>
      </c>
      <c r="B927" s="21">
        <v>80204250585</v>
      </c>
      <c r="C927" s="22" t="s">
        <v>48</v>
      </c>
      <c r="D927" s="22" t="s">
        <v>2530</v>
      </c>
      <c r="E927" s="22" t="s">
        <v>108</v>
      </c>
      <c r="F927" s="21"/>
      <c r="G927" s="21"/>
      <c r="H927" s="21"/>
      <c r="I927" s="21"/>
      <c r="J927" s="21" t="s">
        <v>2374</v>
      </c>
      <c r="K927" s="21"/>
      <c r="L927" s="22" t="s">
        <v>2375</v>
      </c>
      <c r="M927" s="21"/>
      <c r="N927" s="21"/>
      <c r="O927" s="21"/>
      <c r="P927" s="21"/>
      <c r="Q927" s="21" t="s">
        <v>2374</v>
      </c>
      <c r="R927" s="21"/>
      <c r="S927" s="22" t="s">
        <v>2375</v>
      </c>
      <c r="T927" s="13">
        <v>364</v>
      </c>
      <c r="U927" s="23">
        <v>45030</v>
      </c>
      <c r="V927" s="23">
        <v>45033</v>
      </c>
      <c r="W927" s="13">
        <v>364</v>
      </c>
      <c r="X927" s="16"/>
      <c r="Z927" s="27"/>
    </row>
    <row r="928" spans="1:26" ht="75" x14ac:dyDescent="0.25">
      <c r="A928" s="28">
        <v>0</v>
      </c>
      <c r="B928" s="21">
        <v>80204250585</v>
      </c>
      <c r="C928" s="22" t="s">
        <v>48</v>
      </c>
      <c r="D928" s="27" t="s">
        <v>2531</v>
      </c>
      <c r="E928" s="22" t="s">
        <v>108</v>
      </c>
      <c r="F928" s="21"/>
      <c r="G928" s="16"/>
      <c r="H928" s="21"/>
      <c r="I928" s="21"/>
      <c r="J928" s="21" t="s">
        <v>2308</v>
      </c>
      <c r="K928" s="21"/>
      <c r="L928" s="22" t="s">
        <v>2309</v>
      </c>
      <c r="M928" s="21"/>
      <c r="O928" s="21"/>
      <c r="P928" s="21"/>
      <c r="Q928" s="21" t="s">
        <v>2308</v>
      </c>
      <c r="R928" s="21"/>
      <c r="S928" s="21" t="s">
        <v>2309</v>
      </c>
      <c r="T928" s="13">
        <v>400</v>
      </c>
      <c r="U928" s="23">
        <v>45061</v>
      </c>
      <c r="V928" s="23">
        <v>45061</v>
      </c>
      <c r="W928" s="13">
        <v>400</v>
      </c>
      <c r="X928" s="16"/>
      <c r="Z928" s="27"/>
    </row>
    <row r="929" spans="1:26" ht="45" x14ac:dyDescent="0.25">
      <c r="A929" s="28">
        <v>0</v>
      </c>
      <c r="B929" s="21">
        <v>80204250585</v>
      </c>
      <c r="C929" s="22" t="s">
        <v>48</v>
      </c>
      <c r="D929" s="27" t="s">
        <v>2532</v>
      </c>
      <c r="E929" s="22" t="s">
        <v>108</v>
      </c>
      <c r="F929" s="21"/>
      <c r="G929" s="16"/>
      <c r="H929" s="21"/>
      <c r="I929" s="21"/>
      <c r="J929" s="24">
        <v>10426830153</v>
      </c>
      <c r="K929" s="21"/>
      <c r="L929" s="22" t="s">
        <v>2533</v>
      </c>
      <c r="M929" s="21"/>
      <c r="O929" s="21"/>
      <c r="P929" s="21"/>
      <c r="Q929" s="24">
        <v>10426830153</v>
      </c>
      <c r="R929" s="21"/>
      <c r="S929" s="22" t="s">
        <v>2533</v>
      </c>
      <c r="T929" s="13">
        <v>1315</v>
      </c>
      <c r="U929" s="23">
        <v>45068</v>
      </c>
      <c r="V929" s="23">
        <v>45069</v>
      </c>
      <c r="W929" s="13">
        <v>0</v>
      </c>
      <c r="X929" s="16"/>
      <c r="Z929" s="27"/>
    </row>
    <row r="930" spans="1:26" ht="60" x14ac:dyDescent="0.25">
      <c r="A930" s="28">
        <v>0</v>
      </c>
      <c r="B930" s="21">
        <v>80204250585</v>
      </c>
      <c r="C930" s="22" t="s">
        <v>48</v>
      </c>
      <c r="D930" s="22" t="s">
        <v>2534</v>
      </c>
      <c r="E930" s="22" t="s">
        <v>108</v>
      </c>
      <c r="F930" s="21"/>
      <c r="G930" s="16"/>
      <c r="H930" s="21"/>
      <c r="I930" s="21"/>
      <c r="J930" s="21" t="s">
        <v>2218</v>
      </c>
      <c r="K930" s="21"/>
      <c r="L930" s="22" t="s">
        <v>2219</v>
      </c>
      <c r="M930" s="21"/>
      <c r="O930" s="21"/>
      <c r="P930" s="21"/>
      <c r="Q930" s="21" t="s">
        <v>2218</v>
      </c>
      <c r="R930" s="21"/>
      <c r="S930" s="21" t="s">
        <v>2219</v>
      </c>
      <c r="T930" s="13">
        <v>1000</v>
      </c>
      <c r="U930" s="23">
        <v>45050</v>
      </c>
      <c r="V930" s="23">
        <v>45064</v>
      </c>
      <c r="W930" s="13">
        <v>1000</v>
      </c>
      <c r="X930" s="16"/>
      <c r="Z930" s="27"/>
    </row>
    <row r="931" spans="1:26" ht="105" x14ac:dyDescent="0.25">
      <c r="A931" s="28">
        <v>0</v>
      </c>
      <c r="B931" s="21">
        <v>80204250585</v>
      </c>
      <c r="C931" s="22" t="s">
        <v>48</v>
      </c>
      <c r="D931" s="22" t="s">
        <v>2535</v>
      </c>
      <c r="E931" s="22" t="s">
        <v>108</v>
      </c>
      <c r="F931" s="21"/>
      <c r="G931" s="16"/>
      <c r="H931" s="21"/>
      <c r="I931" s="21"/>
      <c r="J931" s="21" t="s">
        <v>2268</v>
      </c>
      <c r="K931" s="21"/>
      <c r="L931" s="27" t="s">
        <v>2269</v>
      </c>
      <c r="M931" s="21"/>
      <c r="O931" s="21"/>
      <c r="P931" s="21"/>
      <c r="Q931" s="21" t="s">
        <v>2268</v>
      </c>
      <c r="R931" s="21"/>
      <c r="S931" s="27" t="s">
        <v>2269</v>
      </c>
      <c r="T931" s="13">
        <v>234</v>
      </c>
      <c r="U931" s="23">
        <v>45065</v>
      </c>
      <c r="V931" s="23">
        <v>45072</v>
      </c>
      <c r="W931" s="13">
        <v>234</v>
      </c>
      <c r="X931" s="16"/>
      <c r="Z931" s="27"/>
    </row>
    <row r="932" spans="1:26" ht="75" x14ac:dyDescent="0.25">
      <c r="A932" s="28">
        <v>0</v>
      </c>
      <c r="B932" s="21" t="s">
        <v>468</v>
      </c>
      <c r="C932" s="22" t="s">
        <v>48</v>
      </c>
      <c r="D932" s="22" t="s">
        <v>2536</v>
      </c>
      <c r="E932" s="22" t="s">
        <v>108</v>
      </c>
      <c r="F932" s="21"/>
      <c r="G932" s="16"/>
      <c r="H932" s="21"/>
      <c r="I932" s="21"/>
      <c r="J932" s="21" t="s">
        <v>2537</v>
      </c>
      <c r="K932" s="21"/>
      <c r="L932" s="27" t="s">
        <v>2538</v>
      </c>
      <c r="M932" s="21"/>
      <c r="O932" s="21"/>
      <c r="P932" s="21"/>
      <c r="Q932" s="21" t="s">
        <v>2537</v>
      </c>
      <c r="R932" s="21"/>
      <c r="S932" s="27" t="s">
        <v>2538</v>
      </c>
      <c r="T932" s="13">
        <v>2500</v>
      </c>
      <c r="U932" s="23">
        <v>45064</v>
      </c>
      <c r="V932" s="23">
        <v>45064</v>
      </c>
      <c r="W932" s="13">
        <v>2500</v>
      </c>
      <c r="X932" s="16"/>
      <c r="Z932" s="27"/>
    </row>
    <row r="933" spans="1:26" ht="90" x14ac:dyDescent="0.25">
      <c r="A933" s="28">
        <v>0</v>
      </c>
      <c r="B933" s="21">
        <v>80204250585</v>
      </c>
      <c r="C933" s="22" t="s">
        <v>48</v>
      </c>
      <c r="D933" s="27" t="s">
        <v>2539</v>
      </c>
      <c r="E933" s="22" t="s">
        <v>108</v>
      </c>
      <c r="F933" s="21"/>
      <c r="G933" s="16"/>
      <c r="H933" s="21"/>
      <c r="I933" s="21"/>
      <c r="J933" s="21" t="s">
        <v>2308</v>
      </c>
      <c r="K933" s="21"/>
      <c r="L933" s="22" t="s">
        <v>2309</v>
      </c>
      <c r="M933" s="21"/>
      <c r="O933" s="21"/>
      <c r="P933" s="21"/>
      <c r="Q933" s="21" t="s">
        <v>2308</v>
      </c>
      <c r="R933" s="21"/>
      <c r="S933" s="21" t="s">
        <v>2309</v>
      </c>
      <c r="T933" s="13">
        <v>400</v>
      </c>
      <c r="U933" s="23">
        <v>45055</v>
      </c>
      <c r="V933" s="23">
        <v>45055</v>
      </c>
      <c r="W933" s="13">
        <v>400</v>
      </c>
      <c r="X933" s="16"/>
      <c r="Z933" s="27"/>
    </row>
    <row r="934" spans="1:26" ht="75" x14ac:dyDescent="0.25">
      <c r="A934" s="28">
        <v>0</v>
      </c>
      <c r="B934" s="21" t="s">
        <v>468</v>
      </c>
      <c r="C934" s="22" t="s">
        <v>48</v>
      </c>
      <c r="D934" s="22" t="s">
        <v>2536</v>
      </c>
      <c r="E934" s="22" t="s">
        <v>108</v>
      </c>
      <c r="F934" s="21"/>
      <c r="G934" s="16"/>
      <c r="H934" s="21"/>
      <c r="I934" s="21"/>
      <c r="J934" s="21" t="s">
        <v>2537</v>
      </c>
      <c r="K934" s="21"/>
      <c r="L934" s="27" t="s">
        <v>2538</v>
      </c>
      <c r="M934" s="21"/>
      <c r="O934" s="21"/>
      <c r="P934" s="21"/>
      <c r="Q934" s="21" t="s">
        <v>2537</v>
      </c>
      <c r="R934" s="21"/>
      <c r="S934" s="27" t="s">
        <v>2538</v>
      </c>
      <c r="T934" s="13">
        <v>2500</v>
      </c>
      <c r="U934" s="23">
        <v>45064</v>
      </c>
      <c r="V934" s="23">
        <v>45064</v>
      </c>
      <c r="W934" s="13">
        <v>2500</v>
      </c>
      <c r="X934" s="16"/>
      <c r="Z934" s="27"/>
    </row>
    <row r="935" spans="1:26" ht="105" x14ac:dyDescent="0.25">
      <c r="A935" s="28">
        <v>0</v>
      </c>
      <c r="B935" s="21">
        <v>80204250585</v>
      </c>
      <c r="C935" s="22" t="s">
        <v>48</v>
      </c>
      <c r="D935" s="22" t="s">
        <v>2540</v>
      </c>
      <c r="E935" s="22" t="s">
        <v>108</v>
      </c>
      <c r="F935" s="21"/>
      <c r="G935" s="16"/>
      <c r="H935" s="21"/>
      <c r="I935" s="21"/>
      <c r="J935" s="21" t="s">
        <v>2312</v>
      </c>
      <c r="K935" s="21"/>
      <c r="L935" s="22" t="s">
        <v>2313</v>
      </c>
      <c r="M935" s="21"/>
      <c r="O935" s="21"/>
      <c r="P935" s="21"/>
      <c r="Q935" s="21" t="s">
        <v>2312</v>
      </c>
      <c r="R935" s="21"/>
      <c r="S935" s="21" t="s">
        <v>2313</v>
      </c>
      <c r="T935" s="13">
        <v>980</v>
      </c>
      <c r="U935" s="23">
        <v>45056</v>
      </c>
      <c r="V935" s="23">
        <v>45056</v>
      </c>
      <c r="W935" s="13">
        <v>980</v>
      </c>
      <c r="X935" s="16"/>
      <c r="Z935" s="27"/>
    </row>
    <row r="936" spans="1:26" ht="45" x14ac:dyDescent="0.25">
      <c r="A936" s="28">
        <v>0</v>
      </c>
      <c r="B936" s="21">
        <v>80204250585</v>
      </c>
      <c r="C936" s="22" t="s">
        <v>48</v>
      </c>
      <c r="D936" s="22" t="s">
        <v>2541</v>
      </c>
      <c r="E936" s="22" t="s">
        <v>108</v>
      </c>
      <c r="F936" s="21"/>
      <c r="G936" s="16"/>
      <c r="H936" s="21"/>
      <c r="I936" s="21"/>
      <c r="J936" s="21" t="s">
        <v>2342</v>
      </c>
      <c r="K936" s="21"/>
      <c r="L936" s="22" t="s">
        <v>2343</v>
      </c>
      <c r="M936" s="21"/>
      <c r="O936" s="21"/>
      <c r="P936" s="21"/>
      <c r="Q936" s="21" t="s">
        <v>2342</v>
      </c>
      <c r="R936" s="21"/>
      <c r="S936" s="22" t="s">
        <v>2343</v>
      </c>
      <c r="T936" s="13">
        <v>3575</v>
      </c>
      <c r="U936" s="89">
        <v>45062</v>
      </c>
      <c r="V936" s="89">
        <v>45062</v>
      </c>
      <c r="W936" s="13">
        <v>3575</v>
      </c>
      <c r="X936" s="16"/>
      <c r="Z936" s="27"/>
    </row>
    <row r="937" spans="1:26" ht="60" x14ac:dyDescent="0.25">
      <c r="A937" s="28">
        <v>0</v>
      </c>
      <c r="B937" s="21">
        <v>80204250585</v>
      </c>
      <c r="C937" s="22" t="s">
        <v>48</v>
      </c>
      <c r="D937" s="22" t="s">
        <v>2542</v>
      </c>
      <c r="E937" s="22" t="s">
        <v>108</v>
      </c>
      <c r="F937" s="21"/>
      <c r="G937" s="16"/>
      <c r="H937" s="21"/>
      <c r="I937" s="21"/>
      <c r="J937" s="21" t="s">
        <v>2543</v>
      </c>
      <c r="K937" s="21"/>
      <c r="L937" s="27" t="s">
        <v>2544</v>
      </c>
      <c r="M937" s="21"/>
      <c r="O937" s="21"/>
      <c r="P937" s="21"/>
      <c r="Q937" s="21" t="s">
        <v>2543</v>
      </c>
      <c r="R937" s="21"/>
      <c r="S937" s="27" t="s">
        <v>2544</v>
      </c>
      <c r="T937" s="13">
        <v>330</v>
      </c>
      <c r="U937" s="89">
        <v>45069</v>
      </c>
      <c r="V937" s="89">
        <v>45089</v>
      </c>
      <c r="W937" s="13">
        <v>0</v>
      </c>
      <c r="X937" s="16"/>
      <c r="Z937" s="27"/>
    </row>
    <row r="938" spans="1:26" ht="90" x14ac:dyDescent="0.25">
      <c r="A938" s="28">
        <v>0</v>
      </c>
      <c r="B938" s="21">
        <v>80204250585</v>
      </c>
      <c r="C938" s="22" t="s">
        <v>48</v>
      </c>
      <c r="D938" s="22" t="s">
        <v>2545</v>
      </c>
      <c r="E938" s="22" t="s">
        <v>108</v>
      </c>
      <c r="F938" s="21"/>
      <c r="G938" s="21"/>
      <c r="H938" s="21"/>
      <c r="I938" s="21"/>
      <c r="J938" s="21" t="s">
        <v>2374</v>
      </c>
      <c r="K938" s="21"/>
      <c r="L938" s="22" t="s">
        <v>2375</v>
      </c>
      <c r="M938" s="21"/>
      <c r="N938" s="21"/>
      <c r="O938" s="21"/>
      <c r="P938" s="21"/>
      <c r="Q938" s="21" t="s">
        <v>2374</v>
      </c>
      <c r="R938" s="21"/>
      <c r="S938" s="22" t="s">
        <v>2375</v>
      </c>
      <c r="T938" s="13">
        <v>400</v>
      </c>
      <c r="U938" s="23">
        <v>45068</v>
      </c>
      <c r="V938" s="23">
        <v>45075</v>
      </c>
      <c r="W938" s="13">
        <v>400</v>
      </c>
      <c r="X938" s="16"/>
      <c r="Z938" s="27"/>
    </row>
    <row r="939" spans="1:26" ht="90" x14ac:dyDescent="0.25">
      <c r="A939" s="28">
        <v>0</v>
      </c>
      <c r="B939" s="21">
        <v>80204250585</v>
      </c>
      <c r="C939" s="22" t="s">
        <v>48</v>
      </c>
      <c r="D939" s="22" t="s">
        <v>2545</v>
      </c>
      <c r="E939" s="22" t="s">
        <v>108</v>
      </c>
      <c r="F939" s="21"/>
      <c r="G939" s="21"/>
      <c r="H939" s="21"/>
      <c r="I939" s="21"/>
      <c r="J939" s="21" t="s">
        <v>2374</v>
      </c>
      <c r="K939" s="21"/>
      <c r="L939" s="22" t="s">
        <v>2375</v>
      </c>
      <c r="M939" s="21"/>
      <c r="N939" s="21"/>
      <c r="O939" s="21"/>
      <c r="P939" s="21"/>
      <c r="Q939" s="21" t="s">
        <v>2374</v>
      </c>
      <c r="R939" s="21"/>
      <c r="S939" s="22" t="s">
        <v>2375</v>
      </c>
      <c r="T939" s="13">
        <v>400</v>
      </c>
      <c r="U939" s="23">
        <v>45068</v>
      </c>
      <c r="V939" s="23">
        <v>45075</v>
      </c>
      <c r="W939" s="13">
        <v>400</v>
      </c>
      <c r="X939" s="16"/>
      <c r="Z939" s="27"/>
    </row>
    <row r="940" spans="1:26" ht="60" x14ac:dyDescent="0.25">
      <c r="A940" s="28">
        <v>0</v>
      </c>
      <c r="B940" s="21">
        <v>80204250585</v>
      </c>
      <c r="C940" s="22" t="s">
        <v>48</v>
      </c>
      <c r="D940" s="22" t="s">
        <v>2546</v>
      </c>
      <c r="E940" s="22" t="s">
        <v>108</v>
      </c>
      <c r="F940" s="21"/>
      <c r="G940" s="21"/>
      <c r="H940" s="21"/>
      <c r="I940" s="21"/>
      <c r="J940" s="21"/>
      <c r="K940" s="21"/>
      <c r="L940" s="22" t="s">
        <v>2547</v>
      </c>
      <c r="M940" s="21"/>
      <c r="N940" s="21"/>
      <c r="O940" s="21"/>
      <c r="P940" s="21"/>
      <c r="R940" s="21"/>
      <c r="S940" s="22" t="s">
        <v>2547</v>
      </c>
      <c r="T940" s="13">
        <v>1950</v>
      </c>
      <c r="U940" s="23">
        <v>45068</v>
      </c>
      <c r="V940" s="23">
        <v>45434</v>
      </c>
      <c r="W940" s="13">
        <v>1950</v>
      </c>
      <c r="X940" s="16"/>
      <c r="Z940" s="27"/>
    </row>
    <row r="941" spans="1:26" ht="90" x14ac:dyDescent="0.25">
      <c r="A941" s="28">
        <v>0</v>
      </c>
      <c r="B941" s="21">
        <v>80204250585</v>
      </c>
      <c r="C941" s="22" t="s">
        <v>48</v>
      </c>
      <c r="D941" s="22" t="s">
        <v>2548</v>
      </c>
      <c r="E941" s="22" t="s">
        <v>108</v>
      </c>
      <c r="F941" s="21"/>
      <c r="G941" s="21"/>
      <c r="H941" s="21"/>
      <c r="I941" s="21"/>
      <c r="J941" s="21"/>
      <c r="K941" s="21"/>
      <c r="L941" s="22" t="s">
        <v>2549</v>
      </c>
      <c r="M941" s="21"/>
      <c r="N941" s="21"/>
      <c r="O941" s="21"/>
      <c r="P941" s="21"/>
      <c r="R941" s="21"/>
      <c r="S941" s="22" t="s">
        <v>2549</v>
      </c>
      <c r="T941" s="13">
        <v>300</v>
      </c>
      <c r="U941" s="23">
        <v>45113</v>
      </c>
      <c r="V941" s="23">
        <v>45114</v>
      </c>
      <c r="W941" s="13">
        <v>300</v>
      </c>
      <c r="X941" s="16"/>
      <c r="Z941" s="27"/>
    </row>
    <row r="942" spans="1:26" ht="45" x14ac:dyDescent="0.25">
      <c r="A942" s="28">
        <v>0</v>
      </c>
      <c r="B942" s="21">
        <v>80204250585</v>
      </c>
      <c r="C942" s="22" t="s">
        <v>48</v>
      </c>
      <c r="D942" s="22" t="s">
        <v>2550</v>
      </c>
      <c r="E942" s="22" t="s">
        <v>108</v>
      </c>
      <c r="F942" s="21"/>
      <c r="G942" s="21"/>
      <c r="H942" s="21"/>
      <c r="I942" s="21"/>
      <c r="J942" s="24">
        <v>80020410488</v>
      </c>
      <c r="K942" s="21"/>
      <c r="L942" s="27" t="s">
        <v>2551</v>
      </c>
      <c r="M942" s="21"/>
      <c r="N942" s="21"/>
      <c r="O942" s="21"/>
      <c r="P942" s="21"/>
      <c r="Q942" s="24">
        <v>80020410488</v>
      </c>
      <c r="R942" s="21"/>
      <c r="S942" s="27" t="s">
        <v>2551</v>
      </c>
      <c r="T942" s="13">
        <v>4100</v>
      </c>
      <c r="U942" s="23">
        <v>45068</v>
      </c>
      <c r="V942" s="23">
        <v>45093</v>
      </c>
      <c r="W942" s="13">
        <v>0</v>
      </c>
      <c r="X942" s="16"/>
      <c r="Z942" s="27"/>
    </row>
    <row r="943" spans="1:26" ht="90" x14ac:dyDescent="0.25">
      <c r="A943" s="16" t="s">
        <v>2552</v>
      </c>
      <c r="B943" s="21">
        <v>80204250585</v>
      </c>
      <c r="C943" s="22" t="s">
        <v>48</v>
      </c>
      <c r="D943" s="22" t="s">
        <v>2553</v>
      </c>
      <c r="E943" s="22" t="s">
        <v>108</v>
      </c>
      <c r="F943" s="21"/>
      <c r="G943" s="16"/>
      <c r="H943" s="21"/>
      <c r="I943" s="21"/>
      <c r="J943" s="21" t="s">
        <v>2276</v>
      </c>
      <c r="K943" s="21"/>
      <c r="L943" s="22" t="s">
        <v>2277</v>
      </c>
      <c r="M943" s="21"/>
      <c r="O943" s="21"/>
      <c r="P943" s="21"/>
      <c r="Q943" s="21" t="s">
        <v>2276</v>
      </c>
      <c r="R943" s="21"/>
      <c r="S943" s="22" t="s">
        <v>2277</v>
      </c>
      <c r="T943" s="13">
        <v>3000</v>
      </c>
      <c r="U943" s="23">
        <v>45085</v>
      </c>
      <c r="V943" s="23">
        <v>45093</v>
      </c>
      <c r="W943" s="13">
        <v>3000</v>
      </c>
      <c r="X943" s="16"/>
      <c r="Z943" s="27"/>
    </row>
    <row r="944" spans="1:26" ht="45" x14ac:dyDescent="0.25">
      <c r="A944" s="28">
        <v>0</v>
      </c>
      <c r="B944" s="21">
        <v>80204250585</v>
      </c>
      <c r="C944" s="22" t="s">
        <v>48</v>
      </c>
      <c r="D944" s="22" t="s">
        <v>2530</v>
      </c>
      <c r="E944" s="22" t="s">
        <v>108</v>
      </c>
      <c r="F944" s="21"/>
      <c r="G944" s="21"/>
      <c r="H944" s="21"/>
      <c r="I944" s="21"/>
      <c r="J944" s="21" t="s">
        <v>2374</v>
      </c>
      <c r="K944" s="21"/>
      <c r="L944" s="22" t="s">
        <v>2375</v>
      </c>
      <c r="M944" s="21"/>
      <c r="N944" s="21"/>
      <c r="O944" s="21"/>
      <c r="P944" s="21"/>
      <c r="Q944" s="21" t="s">
        <v>2374</v>
      </c>
      <c r="R944" s="21"/>
      <c r="S944" s="22" t="s">
        <v>2375</v>
      </c>
      <c r="T944" s="13">
        <v>460</v>
      </c>
      <c r="U944" s="23">
        <v>45092</v>
      </c>
      <c r="V944" s="23">
        <v>45092</v>
      </c>
      <c r="W944" s="13">
        <v>368</v>
      </c>
      <c r="X944" s="16"/>
      <c r="Z944" s="27"/>
    </row>
    <row r="945" spans="1:26" ht="75" x14ac:dyDescent="0.25">
      <c r="A945" s="28">
        <v>0</v>
      </c>
      <c r="B945" s="21">
        <v>80204250585</v>
      </c>
      <c r="C945" s="22" t="s">
        <v>48</v>
      </c>
      <c r="D945" s="22" t="s">
        <v>2554</v>
      </c>
      <c r="E945" s="22" t="s">
        <v>108</v>
      </c>
      <c r="F945" s="21"/>
      <c r="G945" s="21"/>
      <c r="H945" s="21"/>
      <c r="I945" s="21"/>
      <c r="J945" s="22" t="s">
        <v>2555</v>
      </c>
      <c r="K945" s="21"/>
      <c r="L945" s="22" t="s">
        <v>2556</v>
      </c>
      <c r="M945" s="21"/>
      <c r="N945" s="21"/>
      <c r="O945" s="21"/>
      <c r="P945" s="21"/>
      <c r="Q945" s="22" t="s">
        <v>2555</v>
      </c>
      <c r="R945" s="21"/>
      <c r="S945" s="22" t="s">
        <v>2556</v>
      </c>
      <c r="T945" s="13">
        <v>206.17</v>
      </c>
      <c r="U945" s="23">
        <v>45077</v>
      </c>
      <c r="V945" s="23">
        <v>45078</v>
      </c>
      <c r="W945" s="13">
        <v>206.17</v>
      </c>
      <c r="X945" s="16"/>
      <c r="Z945" s="27"/>
    </row>
    <row r="946" spans="1:26" ht="45" x14ac:dyDescent="0.25">
      <c r="A946" s="28" t="s">
        <v>2557</v>
      </c>
      <c r="B946" s="21">
        <v>80204250585</v>
      </c>
      <c r="C946" s="22" t="s">
        <v>48</v>
      </c>
      <c r="D946" s="22" t="s">
        <v>2558</v>
      </c>
      <c r="E946" s="22" t="s">
        <v>108</v>
      </c>
      <c r="F946" s="21"/>
      <c r="G946" s="21"/>
      <c r="H946" s="21"/>
      <c r="I946" s="21"/>
      <c r="J946" s="21" t="s">
        <v>2559</v>
      </c>
      <c r="K946" s="21"/>
      <c r="L946" s="27" t="s">
        <v>2560</v>
      </c>
      <c r="M946" s="21"/>
      <c r="N946" s="21"/>
      <c r="O946" s="21"/>
      <c r="P946" s="21"/>
      <c r="Q946" s="21" t="s">
        <v>2559</v>
      </c>
      <c r="R946" s="21"/>
      <c r="S946" s="27" t="s">
        <v>2560</v>
      </c>
      <c r="T946" s="13">
        <v>1950</v>
      </c>
      <c r="U946" s="23">
        <v>45100</v>
      </c>
      <c r="V946" s="23">
        <v>45199</v>
      </c>
      <c r="W946" s="13">
        <v>0</v>
      </c>
      <c r="X946" s="16"/>
      <c r="Z946" s="27"/>
    </row>
    <row r="947" spans="1:26" ht="45" x14ac:dyDescent="0.25">
      <c r="A947" s="28">
        <v>0</v>
      </c>
      <c r="B947" s="21">
        <v>80204250585</v>
      </c>
      <c r="C947" s="22" t="s">
        <v>48</v>
      </c>
      <c r="D947" s="22" t="s">
        <v>2561</v>
      </c>
      <c r="E947" s="22" t="s">
        <v>108</v>
      </c>
      <c r="F947" s="21"/>
      <c r="G947" s="16"/>
      <c r="H947" s="21"/>
      <c r="I947" s="21"/>
      <c r="J947" s="21" t="s">
        <v>1329</v>
      </c>
      <c r="K947" s="21"/>
      <c r="L947" s="22" t="s">
        <v>2330</v>
      </c>
      <c r="M947" s="21"/>
      <c r="O947" s="21"/>
      <c r="P947" s="21"/>
      <c r="Q947" s="21" t="s">
        <v>1329</v>
      </c>
      <c r="R947" s="21"/>
      <c r="S947" s="21" t="s">
        <v>2330</v>
      </c>
      <c r="T947" s="13">
        <v>2261</v>
      </c>
      <c r="U947" s="23">
        <v>45085</v>
      </c>
      <c r="V947" s="23">
        <v>45120</v>
      </c>
      <c r="W947" s="13">
        <v>2261</v>
      </c>
      <c r="X947" s="16"/>
      <c r="Z947" s="27"/>
    </row>
    <row r="948" spans="1:26" ht="45" x14ac:dyDescent="0.25">
      <c r="A948" s="28">
        <v>0</v>
      </c>
      <c r="B948" s="21">
        <v>80204250585</v>
      </c>
      <c r="C948" s="22" t="s">
        <v>48</v>
      </c>
      <c r="D948" s="22" t="s">
        <v>2562</v>
      </c>
      <c r="E948" s="22" t="s">
        <v>108</v>
      </c>
      <c r="F948" s="21"/>
      <c r="G948" s="21"/>
      <c r="H948" s="21"/>
      <c r="I948" s="21"/>
      <c r="J948" s="21"/>
      <c r="K948" s="21"/>
      <c r="L948" s="22" t="s">
        <v>2563</v>
      </c>
      <c r="M948" s="21"/>
      <c r="N948" s="21"/>
      <c r="O948" s="21"/>
      <c r="P948" s="21"/>
      <c r="R948" s="21"/>
      <c r="S948" s="22" t="s">
        <v>2563</v>
      </c>
      <c r="T948" s="13">
        <v>1272.8599999999999</v>
      </c>
      <c r="U948" s="23">
        <v>45103</v>
      </c>
      <c r="V948" s="23">
        <v>45104</v>
      </c>
      <c r="W948" s="13">
        <v>1272.8599999999999</v>
      </c>
      <c r="X948" s="16"/>
      <c r="Z948" s="27"/>
    </row>
    <row r="949" spans="1:26" ht="90" x14ac:dyDescent="0.25">
      <c r="A949" s="28">
        <v>0</v>
      </c>
      <c r="B949" s="21">
        <v>80204250585</v>
      </c>
      <c r="C949" s="22" t="s">
        <v>48</v>
      </c>
      <c r="D949" s="22" t="s">
        <v>2564</v>
      </c>
      <c r="E949" s="22" t="s">
        <v>108</v>
      </c>
      <c r="F949" s="21"/>
      <c r="G949" s="21"/>
      <c r="H949" s="21"/>
      <c r="I949" s="21"/>
      <c r="J949" s="21" t="s">
        <v>2374</v>
      </c>
      <c r="K949" s="21"/>
      <c r="L949" s="22" t="s">
        <v>2375</v>
      </c>
      <c r="M949" s="21"/>
      <c r="N949" s="21"/>
      <c r="O949" s="21"/>
      <c r="P949" s="21"/>
      <c r="Q949" s="21" t="s">
        <v>2374</v>
      </c>
      <c r="R949" s="21"/>
      <c r="S949" s="22" t="s">
        <v>2375</v>
      </c>
      <c r="T949" s="13">
        <v>300</v>
      </c>
      <c r="U949" s="23">
        <v>45086</v>
      </c>
      <c r="V949" s="23">
        <v>45086</v>
      </c>
      <c r="W949" s="13">
        <v>300</v>
      </c>
      <c r="X949" s="16"/>
      <c r="Z949" s="27"/>
    </row>
    <row r="950" spans="1:26" ht="75" x14ac:dyDescent="0.25">
      <c r="A950" s="28">
        <v>0</v>
      </c>
      <c r="B950" s="21">
        <v>80204250585</v>
      </c>
      <c r="C950" s="22" t="s">
        <v>48</v>
      </c>
      <c r="D950" s="22" t="s">
        <v>2565</v>
      </c>
      <c r="E950" s="22" t="s">
        <v>108</v>
      </c>
      <c r="F950" s="21"/>
      <c r="G950" s="21"/>
      <c r="H950" s="21"/>
      <c r="I950" s="21"/>
      <c r="J950" s="21" t="s">
        <v>2374</v>
      </c>
      <c r="K950" s="21"/>
      <c r="L950" s="22" t="s">
        <v>2375</v>
      </c>
      <c r="M950" s="21"/>
      <c r="N950" s="21"/>
      <c r="O950" s="21"/>
      <c r="P950" s="21"/>
      <c r="Q950" s="21" t="s">
        <v>2374</v>
      </c>
      <c r="R950" s="21"/>
      <c r="S950" s="22" t="s">
        <v>2375</v>
      </c>
      <c r="T950" s="13">
        <v>300</v>
      </c>
      <c r="U950" s="23">
        <v>45103</v>
      </c>
      <c r="V950" s="23">
        <v>45103</v>
      </c>
      <c r="W950" s="13">
        <v>240</v>
      </c>
      <c r="X950" s="16"/>
      <c r="Z950" s="27"/>
    </row>
    <row r="951" spans="1:26" ht="45" x14ac:dyDescent="0.25">
      <c r="A951" s="28">
        <v>0</v>
      </c>
      <c r="B951" s="21">
        <v>80204250585</v>
      </c>
      <c r="C951" s="22" t="s">
        <v>48</v>
      </c>
      <c r="D951" s="22" t="s">
        <v>2566</v>
      </c>
      <c r="E951" s="22" t="s">
        <v>108</v>
      </c>
      <c r="F951" s="21"/>
      <c r="G951" s="21"/>
      <c r="H951" s="21"/>
      <c r="I951" s="21"/>
      <c r="J951" s="21"/>
      <c r="K951" s="21"/>
      <c r="L951" s="22" t="s">
        <v>2567</v>
      </c>
      <c r="M951" s="21"/>
      <c r="N951" s="21"/>
      <c r="O951" s="21"/>
      <c r="P951" s="21"/>
      <c r="R951" s="21"/>
      <c r="S951" s="22" t="s">
        <v>2567</v>
      </c>
      <c r="T951" s="13">
        <v>450</v>
      </c>
      <c r="U951" s="23">
        <v>45197</v>
      </c>
      <c r="V951" s="23">
        <v>45198</v>
      </c>
      <c r="W951" s="13">
        <v>0</v>
      </c>
      <c r="X951" s="16"/>
      <c r="Z951" s="27"/>
    </row>
    <row r="952" spans="1:26" ht="45" x14ac:dyDescent="0.25">
      <c r="A952" s="28">
        <v>0</v>
      </c>
      <c r="B952" s="21">
        <v>80204250585</v>
      </c>
      <c r="C952" s="22" t="s">
        <v>48</v>
      </c>
      <c r="D952" s="22" t="s">
        <v>2566</v>
      </c>
      <c r="E952" s="22" t="s">
        <v>108</v>
      </c>
      <c r="F952" s="21"/>
      <c r="G952" s="21"/>
      <c r="H952" s="21"/>
      <c r="I952" s="21"/>
      <c r="J952" s="21"/>
      <c r="K952" s="21"/>
      <c r="L952" s="22" t="s">
        <v>2567</v>
      </c>
      <c r="M952" s="21"/>
      <c r="N952" s="21"/>
      <c r="O952" s="21"/>
      <c r="P952" s="21"/>
      <c r="R952" s="21"/>
      <c r="S952" s="22" t="s">
        <v>2567</v>
      </c>
      <c r="T952" s="13">
        <v>450</v>
      </c>
      <c r="U952" s="23">
        <v>45197</v>
      </c>
      <c r="V952" s="23">
        <v>45198</v>
      </c>
      <c r="W952" s="13">
        <v>0</v>
      </c>
      <c r="X952" s="16"/>
      <c r="Z952" s="27"/>
    </row>
    <row r="953" spans="1:26" ht="45" x14ac:dyDescent="0.25">
      <c r="A953" s="28">
        <v>0</v>
      </c>
      <c r="B953" s="21">
        <v>80204250585</v>
      </c>
      <c r="C953" s="22" t="s">
        <v>48</v>
      </c>
      <c r="D953" s="22" t="s">
        <v>2566</v>
      </c>
      <c r="E953" s="22" t="s">
        <v>108</v>
      </c>
      <c r="F953" s="21"/>
      <c r="G953" s="21"/>
      <c r="H953" s="21"/>
      <c r="I953" s="21"/>
      <c r="J953" s="21"/>
      <c r="K953" s="21"/>
      <c r="L953" s="22" t="s">
        <v>2567</v>
      </c>
      <c r="M953" s="21"/>
      <c r="N953" s="21"/>
      <c r="O953" s="21"/>
      <c r="P953" s="21"/>
      <c r="R953" s="21"/>
      <c r="S953" s="22" t="s">
        <v>2567</v>
      </c>
      <c r="T953" s="13">
        <v>450</v>
      </c>
      <c r="U953" s="23">
        <v>45197</v>
      </c>
      <c r="V953" s="23">
        <v>45198</v>
      </c>
      <c r="W953" s="13">
        <v>0</v>
      </c>
      <c r="X953" s="16"/>
      <c r="Z953" s="27"/>
    </row>
    <row r="954" spans="1:26" ht="60" x14ac:dyDescent="0.25">
      <c r="A954" s="28">
        <v>0</v>
      </c>
      <c r="B954" s="21">
        <v>80204250585</v>
      </c>
      <c r="C954" s="22" t="s">
        <v>48</v>
      </c>
      <c r="D954" s="22" t="s">
        <v>2457</v>
      </c>
      <c r="E954" s="22" t="s">
        <v>108</v>
      </c>
      <c r="F954" s="21"/>
      <c r="G954" s="16"/>
      <c r="H954" s="21"/>
      <c r="I954" s="21"/>
      <c r="J954" s="90">
        <v>12799211003</v>
      </c>
      <c r="K954" s="21"/>
      <c r="L954" s="22" t="s">
        <v>2458</v>
      </c>
      <c r="M954" s="21"/>
      <c r="O954" s="21"/>
      <c r="P954" s="21"/>
      <c r="Q954" s="90">
        <v>12799211003</v>
      </c>
      <c r="R954" s="21"/>
      <c r="S954" s="22" t="s">
        <v>2458</v>
      </c>
      <c r="T954" s="13">
        <v>850</v>
      </c>
      <c r="U954" s="89">
        <v>45189</v>
      </c>
      <c r="V954" s="89">
        <v>45190</v>
      </c>
      <c r="W954" s="13">
        <v>0</v>
      </c>
      <c r="X954" s="16"/>
      <c r="Z954" s="27"/>
    </row>
    <row r="955" spans="1:26" ht="60" x14ac:dyDescent="0.25">
      <c r="A955" s="28">
        <v>0</v>
      </c>
      <c r="B955" s="21">
        <v>80204250585</v>
      </c>
      <c r="C955" s="22" t="s">
        <v>48</v>
      </c>
      <c r="D955" s="22" t="s">
        <v>2457</v>
      </c>
      <c r="E955" s="22" t="s">
        <v>108</v>
      </c>
      <c r="F955" s="21"/>
      <c r="G955" s="16"/>
      <c r="H955" s="21"/>
      <c r="I955" s="21"/>
      <c r="J955" s="90">
        <v>12799211003</v>
      </c>
      <c r="K955" s="21"/>
      <c r="L955" s="22" t="s">
        <v>2458</v>
      </c>
      <c r="M955" s="21"/>
      <c r="O955" s="21"/>
      <c r="P955" s="21"/>
      <c r="Q955" s="90">
        <v>12799211003</v>
      </c>
      <c r="R955" s="21"/>
      <c r="S955" s="22" t="s">
        <v>2458</v>
      </c>
      <c r="T955" s="13">
        <v>850</v>
      </c>
      <c r="U955" s="89">
        <v>45189</v>
      </c>
      <c r="V955" s="89">
        <v>45190</v>
      </c>
      <c r="W955" s="13">
        <v>0</v>
      </c>
      <c r="X955" s="16"/>
      <c r="Z955" s="27"/>
    </row>
    <row r="956" spans="1:26" ht="60" x14ac:dyDescent="0.25">
      <c r="A956" s="28">
        <v>0</v>
      </c>
      <c r="B956" s="21">
        <v>80204250585</v>
      </c>
      <c r="C956" s="22" t="s">
        <v>48</v>
      </c>
      <c r="D956" s="22" t="s">
        <v>2457</v>
      </c>
      <c r="E956" s="22" t="s">
        <v>108</v>
      </c>
      <c r="F956" s="21"/>
      <c r="G956" s="16"/>
      <c r="H956" s="21"/>
      <c r="I956" s="21"/>
      <c r="J956" s="90">
        <v>12799211003</v>
      </c>
      <c r="K956" s="21"/>
      <c r="L956" s="22" t="s">
        <v>2458</v>
      </c>
      <c r="M956" s="21"/>
      <c r="O956" s="21"/>
      <c r="P956" s="21"/>
      <c r="Q956" s="90">
        <v>12799211003</v>
      </c>
      <c r="R956" s="21"/>
      <c r="S956" s="22" t="s">
        <v>2458</v>
      </c>
      <c r="T956" s="13">
        <v>850</v>
      </c>
      <c r="U956" s="89">
        <v>45189</v>
      </c>
      <c r="V956" s="89">
        <v>45190</v>
      </c>
      <c r="W956" s="13">
        <v>0</v>
      </c>
      <c r="X956" s="16"/>
      <c r="Z956" s="27"/>
    </row>
    <row r="957" spans="1:26" ht="45" x14ac:dyDescent="0.25">
      <c r="A957" s="28">
        <v>0</v>
      </c>
      <c r="B957" s="21">
        <v>80204250585</v>
      </c>
      <c r="C957" s="22" t="s">
        <v>48</v>
      </c>
      <c r="D957" s="22" t="s">
        <v>2568</v>
      </c>
      <c r="E957" s="22" t="s">
        <v>108</v>
      </c>
      <c r="F957" s="21"/>
      <c r="G957" s="16"/>
      <c r="H957" s="21"/>
      <c r="I957" s="21"/>
      <c r="J957" s="21" t="s">
        <v>2290</v>
      </c>
      <c r="K957" s="21"/>
      <c r="L957" s="22" t="s">
        <v>2291</v>
      </c>
      <c r="M957" s="21"/>
      <c r="O957" s="21"/>
      <c r="P957" s="21"/>
      <c r="Q957" s="21" t="s">
        <v>2290</v>
      </c>
      <c r="R957" s="21"/>
      <c r="S957" s="22" t="s">
        <v>2291</v>
      </c>
      <c r="T957" s="13">
        <v>2250</v>
      </c>
      <c r="U957" s="23">
        <v>45225</v>
      </c>
      <c r="V957" s="23">
        <v>45274</v>
      </c>
      <c r="W957" s="13">
        <v>0</v>
      </c>
      <c r="X957" s="16"/>
      <c r="Z957" s="27"/>
    </row>
    <row r="958" spans="1:26" ht="45" x14ac:dyDescent="0.25">
      <c r="A958" s="28">
        <v>0</v>
      </c>
      <c r="B958" s="21">
        <v>80204250585</v>
      </c>
      <c r="C958" s="22" t="s">
        <v>48</v>
      </c>
      <c r="D958" s="22" t="s">
        <v>2568</v>
      </c>
      <c r="E958" s="22" t="s">
        <v>108</v>
      </c>
      <c r="F958" s="21"/>
      <c r="G958" s="16"/>
      <c r="H958" s="21"/>
      <c r="I958" s="21"/>
      <c r="J958" s="21" t="s">
        <v>2290</v>
      </c>
      <c r="K958" s="21"/>
      <c r="L958" s="22" t="s">
        <v>2291</v>
      </c>
      <c r="M958" s="21"/>
      <c r="O958" s="21"/>
      <c r="P958" s="21"/>
      <c r="Q958" s="21" t="s">
        <v>2290</v>
      </c>
      <c r="R958" s="21"/>
      <c r="S958" s="22" t="s">
        <v>2291</v>
      </c>
      <c r="T958" s="13">
        <v>2250</v>
      </c>
      <c r="U958" s="23">
        <v>45225</v>
      </c>
      <c r="V958" s="23">
        <v>45274</v>
      </c>
      <c r="W958" s="13">
        <v>0</v>
      </c>
      <c r="X958" s="16"/>
      <c r="Z958" s="27"/>
    </row>
    <row r="959" spans="1:26" ht="60" x14ac:dyDescent="0.25">
      <c r="A959" s="28">
        <v>0</v>
      </c>
      <c r="B959" s="21">
        <v>80204250585</v>
      </c>
      <c r="C959" s="22" t="s">
        <v>48</v>
      </c>
      <c r="D959" s="22" t="s">
        <v>2569</v>
      </c>
      <c r="E959" s="22" t="s">
        <v>108</v>
      </c>
      <c r="F959" s="21"/>
      <c r="G959" s="21"/>
      <c r="H959" s="21"/>
      <c r="I959" s="21"/>
      <c r="J959" s="21" t="s">
        <v>2236</v>
      </c>
      <c r="K959" s="21"/>
      <c r="L959" s="87" t="s">
        <v>2237</v>
      </c>
      <c r="M959" s="16"/>
      <c r="O959" s="21"/>
      <c r="P959" s="21"/>
      <c r="Q959" s="21" t="s">
        <v>2236</v>
      </c>
      <c r="R959" s="21"/>
      <c r="S959" s="87" t="s">
        <v>2237</v>
      </c>
      <c r="T959" s="13">
        <v>3200</v>
      </c>
      <c r="U959" s="23">
        <v>45111</v>
      </c>
      <c r="V959" s="23">
        <v>45112</v>
      </c>
      <c r="W959" s="13">
        <v>3200</v>
      </c>
    </row>
    <row r="960" spans="1:26" ht="90" x14ac:dyDescent="0.25">
      <c r="A960" s="28">
        <v>0</v>
      </c>
      <c r="B960" s="21">
        <v>80204250585</v>
      </c>
      <c r="C960" s="22" t="s">
        <v>48</v>
      </c>
      <c r="D960" s="22" t="s">
        <v>2570</v>
      </c>
      <c r="E960" s="22" t="s">
        <v>108</v>
      </c>
      <c r="F960" s="21"/>
      <c r="G960" s="21"/>
      <c r="H960" s="21"/>
      <c r="I960" s="21"/>
      <c r="J960" s="21" t="s">
        <v>2236</v>
      </c>
      <c r="K960" s="21"/>
      <c r="L960" s="87" t="s">
        <v>2237</v>
      </c>
      <c r="M960" s="16"/>
      <c r="O960" s="21"/>
      <c r="P960" s="21"/>
      <c r="Q960" s="21" t="s">
        <v>2236</v>
      </c>
      <c r="R960" s="21"/>
      <c r="S960" s="87" t="s">
        <v>2237</v>
      </c>
      <c r="T960" s="13">
        <v>850</v>
      </c>
      <c r="U960" s="23">
        <v>45114</v>
      </c>
      <c r="V960" s="23">
        <v>45114</v>
      </c>
      <c r="W960" s="13">
        <v>850</v>
      </c>
    </row>
    <row r="961" spans="1:23" ht="75" x14ac:dyDescent="0.25">
      <c r="A961" s="28">
        <v>0</v>
      </c>
      <c r="B961" s="21">
        <v>80204250585</v>
      </c>
      <c r="C961" s="22" t="s">
        <v>48</v>
      </c>
      <c r="D961" s="22" t="s">
        <v>2571</v>
      </c>
      <c r="E961" s="22" t="s">
        <v>108</v>
      </c>
      <c r="F961" s="21"/>
      <c r="G961" s="16"/>
      <c r="H961" s="21"/>
      <c r="I961" s="21"/>
      <c r="J961" s="21" t="s">
        <v>2218</v>
      </c>
      <c r="K961" s="21"/>
      <c r="L961" s="22" t="s">
        <v>2219</v>
      </c>
      <c r="M961" s="21"/>
      <c r="O961" s="21"/>
      <c r="P961" s="21"/>
      <c r="Q961" s="21" t="s">
        <v>2218</v>
      </c>
      <c r="R961" s="21"/>
      <c r="S961" s="21" t="s">
        <v>2219</v>
      </c>
      <c r="T961" s="13">
        <v>60</v>
      </c>
      <c r="U961" s="23">
        <v>45131</v>
      </c>
      <c r="V961" s="23">
        <v>45131</v>
      </c>
      <c r="W961" s="13">
        <v>60</v>
      </c>
    </row>
    <row r="962" spans="1:23" ht="75" x14ac:dyDescent="0.25">
      <c r="A962" s="28">
        <v>0</v>
      </c>
      <c r="B962" s="21">
        <v>80204250585</v>
      </c>
      <c r="C962" s="22" t="s">
        <v>48</v>
      </c>
      <c r="D962" s="22" t="s">
        <v>2572</v>
      </c>
      <c r="E962" s="22" t="s">
        <v>108</v>
      </c>
      <c r="F962" s="21"/>
      <c r="G962" s="16"/>
      <c r="H962" s="21"/>
      <c r="I962" s="21"/>
      <c r="J962" s="21" t="s">
        <v>2218</v>
      </c>
      <c r="K962" s="21"/>
      <c r="L962" s="22" t="s">
        <v>2219</v>
      </c>
      <c r="M962" s="21"/>
      <c r="O962" s="21"/>
      <c r="P962" s="21"/>
      <c r="Q962" s="21" t="s">
        <v>2218</v>
      </c>
      <c r="R962" s="21"/>
      <c r="S962" s="21" t="s">
        <v>2219</v>
      </c>
      <c r="T962" s="13">
        <v>130</v>
      </c>
      <c r="U962" s="23">
        <v>45127</v>
      </c>
      <c r="V962" s="23">
        <v>45127</v>
      </c>
      <c r="W962" s="13">
        <v>130</v>
      </c>
    </row>
    <row r="963" spans="1:23" ht="60" x14ac:dyDescent="0.25">
      <c r="A963" s="28" t="s">
        <v>2573</v>
      </c>
      <c r="B963" s="21">
        <v>80204250585</v>
      </c>
      <c r="C963" s="22" t="s">
        <v>48</v>
      </c>
      <c r="D963" s="27" t="s">
        <v>2574</v>
      </c>
      <c r="E963" s="22" t="s">
        <v>108</v>
      </c>
      <c r="F963" s="21"/>
      <c r="G963" s="16"/>
      <c r="H963" s="21"/>
      <c r="I963" s="21"/>
      <c r="J963" s="21" t="s">
        <v>2408</v>
      </c>
      <c r="K963" s="21"/>
      <c r="L963" s="27" t="s">
        <v>2409</v>
      </c>
      <c r="M963" s="21"/>
      <c r="O963" s="21"/>
      <c r="P963" s="21"/>
      <c r="Q963" s="21" t="s">
        <v>2408</v>
      </c>
      <c r="R963" s="21"/>
      <c r="S963" s="27" t="s">
        <v>2409</v>
      </c>
      <c r="T963" s="13">
        <v>1360</v>
      </c>
      <c r="U963" s="23">
        <v>45180</v>
      </c>
      <c r="V963" s="23">
        <v>45190</v>
      </c>
      <c r="W963" s="13">
        <v>1360</v>
      </c>
    </row>
    <row r="964" spans="1:23" ht="60" x14ac:dyDescent="0.25">
      <c r="A964" s="28">
        <v>0</v>
      </c>
      <c r="B964" s="21">
        <v>80204250585</v>
      </c>
      <c r="C964" s="22" t="s">
        <v>48</v>
      </c>
      <c r="D964" s="22" t="s">
        <v>2575</v>
      </c>
      <c r="E964" s="22" t="s">
        <v>108</v>
      </c>
      <c r="F964" s="21"/>
      <c r="G964" s="16"/>
      <c r="H964" s="21"/>
      <c r="I964" s="21"/>
      <c r="J964" s="21" t="s">
        <v>1895</v>
      </c>
      <c r="K964" s="21"/>
      <c r="L964" s="22" t="s">
        <v>2118</v>
      </c>
      <c r="M964" s="21"/>
      <c r="O964" s="21"/>
      <c r="P964" s="21"/>
      <c r="Q964" s="21" t="s">
        <v>1895</v>
      </c>
      <c r="R964" s="21"/>
      <c r="S964" s="22" t="s">
        <v>2118</v>
      </c>
      <c r="T964" s="13">
        <v>263.25</v>
      </c>
      <c r="U964" s="23">
        <v>45184</v>
      </c>
      <c r="V964" s="23">
        <v>45195</v>
      </c>
      <c r="W964" s="13">
        <v>0</v>
      </c>
    </row>
    <row r="965" spans="1:23" ht="60" x14ac:dyDescent="0.25">
      <c r="A965" s="28">
        <v>0</v>
      </c>
      <c r="B965" s="21">
        <v>80204250585</v>
      </c>
      <c r="C965" s="22" t="s">
        <v>48</v>
      </c>
      <c r="D965" s="22" t="s">
        <v>2575</v>
      </c>
      <c r="E965" s="22" t="s">
        <v>108</v>
      </c>
      <c r="F965" s="21"/>
      <c r="G965" s="16"/>
      <c r="H965" s="21"/>
      <c r="I965" s="21"/>
      <c r="J965" s="21" t="s">
        <v>1895</v>
      </c>
      <c r="K965" s="21"/>
      <c r="L965" s="22" t="s">
        <v>2118</v>
      </c>
      <c r="M965" s="21"/>
      <c r="O965" s="21"/>
      <c r="P965" s="21"/>
      <c r="Q965" s="21" t="s">
        <v>1895</v>
      </c>
      <c r="R965" s="21"/>
      <c r="S965" s="22" t="s">
        <v>2118</v>
      </c>
      <c r="T965" s="13">
        <v>390</v>
      </c>
      <c r="U965" s="23">
        <v>45184</v>
      </c>
      <c r="V965" s="23">
        <v>45195</v>
      </c>
      <c r="W965" s="13">
        <v>0</v>
      </c>
    </row>
    <row r="966" spans="1:23" ht="60" x14ac:dyDescent="0.25">
      <c r="A966" s="28">
        <v>0</v>
      </c>
      <c r="B966" s="21">
        <v>80204250585</v>
      </c>
      <c r="C966" s="22" t="s">
        <v>48</v>
      </c>
      <c r="D966" s="22" t="s">
        <v>2576</v>
      </c>
      <c r="E966" s="22" t="s">
        <v>108</v>
      </c>
      <c r="F966" s="21"/>
      <c r="G966" s="16"/>
      <c r="H966" s="21"/>
      <c r="I966" s="21"/>
      <c r="J966" s="21" t="s">
        <v>2577</v>
      </c>
      <c r="K966" s="21"/>
      <c r="L966" s="22" t="s">
        <v>2578</v>
      </c>
      <c r="M966" s="21"/>
      <c r="O966" s="21"/>
      <c r="P966" s="21"/>
      <c r="Q966" s="21" t="s">
        <v>2577</v>
      </c>
      <c r="R966" s="21"/>
      <c r="S966" s="22" t="s">
        <v>2578</v>
      </c>
      <c r="T966" s="13">
        <v>200</v>
      </c>
      <c r="U966" s="23">
        <v>45174</v>
      </c>
      <c r="V966" s="23">
        <v>45239</v>
      </c>
      <c r="W966" s="13">
        <v>200</v>
      </c>
    </row>
    <row r="967" spans="1:23" ht="60" x14ac:dyDescent="0.25">
      <c r="A967" s="28">
        <v>0</v>
      </c>
      <c r="B967" s="21">
        <v>80204250585</v>
      </c>
      <c r="C967" s="22" t="s">
        <v>48</v>
      </c>
      <c r="D967" s="22" t="s">
        <v>2579</v>
      </c>
      <c r="E967" s="22" t="s">
        <v>108</v>
      </c>
      <c r="F967" s="21"/>
      <c r="G967" s="16"/>
      <c r="H967" s="21"/>
      <c r="I967" s="21"/>
      <c r="J967" s="21" t="s">
        <v>2577</v>
      </c>
      <c r="K967" s="21"/>
      <c r="L967" s="22" t="s">
        <v>2578</v>
      </c>
      <c r="M967" s="21"/>
      <c r="O967" s="21"/>
      <c r="P967" s="21"/>
      <c r="Q967" s="21" t="s">
        <v>2577</v>
      </c>
      <c r="R967" s="21"/>
      <c r="S967" s="22" t="s">
        <v>2578</v>
      </c>
      <c r="T967" s="13">
        <v>200</v>
      </c>
      <c r="U967" s="23">
        <v>45174</v>
      </c>
      <c r="V967" s="23">
        <v>45239</v>
      </c>
      <c r="W967" s="13">
        <v>200</v>
      </c>
    </row>
    <row r="968" spans="1:23" ht="60" x14ac:dyDescent="0.25">
      <c r="A968" s="28">
        <v>0</v>
      </c>
      <c r="B968" s="21">
        <v>80204250585</v>
      </c>
      <c r="C968" s="22" t="s">
        <v>48</v>
      </c>
      <c r="D968" s="22" t="s">
        <v>2579</v>
      </c>
      <c r="E968" s="22" t="s">
        <v>108</v>
      </c>
      <c r="F968" s="21"/>
      <c r="G968" s="16"/>
      <c r="H968" s="21"/>
      <c r="I968" s="21"/>
      <c r="J968" s="21" t="s">
        <v>2577</v>
      </c>
      <c r="K968" s="21"/>
      <c r="L968" s="22" t="s">
        <v>2578</v>
      </c>
      <c r="M968" s="21"/>
      <c r="O968" s="21"/>
      <c r="P968" s="21"/>
      <c r="Q968" s="21" t="s">
        <v>2577</v>
      </c>
      <c r="R968" s="21"/>
      <c r="S968" s="22" t="s">
        <v>2578</v>
      </c>
      <c r="T968" s="13">
        <v>200</v>
      </c>
      <c r="U968" s="23">
        <v>45174</v>
      </c>
      <c r="V968" s="23">
        <v>45239</v>
      </c>
      <c r="W968" s="13">
        <v>200</v>
      </c>
    </row>
    <row r="969" spans="1:23" ht="45" x14ac:dyDescent="0.25">
      <c r="A969" s="28">
        <v>0</v>
      </c>
      <c r="B969" s="21">
        <v>80204250585</v>
      </c>
      <c r="C969" s="22" t="s">
        <v>48</v>
      </c>
      <c r="D969" s="22" t="s">
        <v>2580</v>
      </c>
      <c r="E969" s="22" t="s">
        <v>108</v>
      </c>
      <c r="F969" s="21"/>
      <c r="G969" s="16"/>
      <c r="H969" s="21"/>
      <c r="I969" s="21"/>
      <c r="J969" s="21" t="s">
        <v>1895</v>
      </c>
      <c r="K969" s="21"/>
      <c r="L969" s="22" t="s">
        <v>2118</v>
      </c>
      <c r="M969" s="21"/>
      <c r="O969" s="21"/>
      <c r="P969" s="21"/>
      <c r="Q969" s="21" t="s">
        <v>1895</v>
      </c>
      <c r="R969" s="21"/>
      <c r="S969" s="22" t="s">
        <v>2118</v>
      </c>
      <c r="T969" s="13">
        <v>1560</v>
      </c>
      <c r="U969" s="23">
        <v>45247</v>
      </c>
      <c r="V969" s="23">
        <v>45327</v>
      </c>
      <c r="W969" s="13">
        <v>0</v>
      </c>
    </row>
    <row r="970" spans="1:23" ht="60" x14ac:dyDescent="0.25">
      <c r="A970" s="28">
        <v>0</v>
      </c>
      <c r="B970" s="21">
        <v>80204250585</v>
      </c>
      <c r="C970" s="22" t="s">
        <v>48</v>
      </c>
      <c r="D970" s="22" t="s">
        <v>2581</v>
      </c>
      <c r="E970" s="22" t="s">
        <v>108</v>
      </c>
      <c r="F970" s="21"/>
      <c r="G970" s="16"/>
      <c r="H970" s="21"/>
      <c r="I970" s="21"/>
      <c r="J970" s="21"/>
      <c r="K970" s="21"/>
      <c r="L970" s="22" t="s">
        <v>2582</v>
      </c>
      <c r="M970" s="21"/>
      <c r="O970" s="21"/>
      <c r="P970" s="21"/>
      <c r="R970" s="21"/>
      <c r="S970" s="22" t="s">
        <v>2582</v>
      </c>
      <c r="T970" s="13">
        <v>2400</v>
      </c>
      <c r="U970" s="23">
        <v>45260</v>
      </c>
      <c r="V970" s="23">
        <v>45261</v>
      </c>
      <c r="W970" s="13">
        <v>0</v>
      </c>
    </row>
    <row r="971" spans="1:23" ht="60" x14ac:dyDescent="0.25">
      <c r="A971" s="28">
        <v>0</v>
      </c>
      <c r="B971" s="21">
        <v>80204250585</v>
      </c>
      <c r="C971" s="22" t="s">
        <v>48</v>
      </c>
      <c r="D971" s="22" t="s">
        <v>2581</v>
      </c>
      <c r="E971" s="22" t="s">
        <v>108</v>
      </c>
      <c r="F971" s="21"/>
      <c r="G971" s="16"/>
      <c r="H971" s="21"/>
      <c r="I971" s="21"/>
      <c r="J971" s="21"/>
      <c r="K971" s="21"/>
      <c r="L971" s="22" t="s">
        <v>2582</v>
      </c>
      <c r="M971" s="21"/>
      <c r="O971" s="21"/>
      <c r="P971" s="21"/>
      <c r="R971" s="21"/>
      <c r="S971" s="22" t="s">
        <v>2582</v>
      </c>
      <c r="T971" s="13">
        <v>2400</v>
      </c>
      <c r="U971" s="23">
        <v>45260</v>
      </c>
      <c r="V971" s="23">
        <v>45261</v>
      </c>
      <c r="W971" s="13">
        <v>0</v>
      </c>
    </row>
    <row r="972" spans="1:23" ht="75" x14ac:dyDescent="0.25">
      <c r="A972" s="28">
        <v>0</v>
      </c>
      <c r="B972" s="21">
        <v>80204250585</v>
      </c>
      <c r="C972" s="22" t="s">
        <v>48</v>
      </c>
      <c r="D972" s="22" t="s">
        <v>2583</v>
      </c>
      <c r="E972" s="22" t="s">
        <v>108</v>
      </c>
      <c r="F972" s="21"/>
      <c r="G972" s="21"/>
      <c r="H972" s="21"/>
      <c r="I972" s="21"/>
      <c r="J972" s="21" t="s">
        <v>2236</v>
      </c>
      <c r="K972" s="21"/>
      <c r="L972" s="87" t="s">
        <v>2237</v>
      </c>
      <c r="M972" s="16"/>
      <c r="O972" s="21"/>
      <c r="P972" s="21"/>
      <c r="Q972" s="21" t="s">
        <v>2236</v>
      </c>
      <c r="R972" s="21"/>
      <c r="S972" s="87" t="s">
        <v>2237</v>
      </c>
      <c r="T972" s="13">
        <v>750</v>
      </c>
      <c r="U972" s="23">
        <v>45190</v>
      </c>
      <c r="V972" s="23">
        <v>45190</v>
      </c>
      <c r="W972" s="13">
        <v>0</v>
      </c>
    </row>
    <row r="973" spans="1:23" ht="75" x14ac:dyDescent="0.25">
      <c r="A973" s="28">
        <v>0</v>
      </c>
      <c r="B973" s="21">
        <v>80204250585</v>
      </c>
      <c r="C973" s="22" t="s">
        <v>48</v>
      </c>
      <c r="D973" s="22" t="s">
        <v>2583</v>
      </c>
      <c r="E973" s="22" t="s">
        <v>108</v>
      </c>
      <c r="F973" s="21"/>
      <c r="G973" s="21"/>
      <c r="H973" s="21"/>
      <c r="I973" s="21"/>
      <c r="J973" s="21" t="s">
        <v>2236</v>
      </c>
      <c r="K973" s="21"/>
      <c r="L973" s="87" t="s">
        <v>2237</v>
      </c>
      <c r="M973" s="16"/>
      <c r="O973" s="21"/>
      <c r="P973" s="21"/>
      <c r="Q973" s="21" t="s">
        <v>2236</v>
      </c>
      <c r="R973" s="21"/>
      <c r="S973" s="87" t="s">
        <v>2237</v>
      </c>
      <c r="T973" s="13">
        <v>750</v>
      </c>
      <c r="U973" s="23">
        <v>45190</v>
      </c>
      <c r="V973" s="23">
        <v>45190</v>
      </c>
      <c r="W973" s="13">
        <v>0</v>
      </c>
    </row>
    <row r="974" spans="1:23" ht="90" x14ac:dyDescent="0.25">
      <c r="A974" s="28">
        <v>0</v>
      </c>
      <c r="B974" s="21">
        <v>80204250585</v>
      </c>
      <c r="C974" s="22" t="s">
        <v>48</v>
      </c>
      <c r="D974" s="22" t="s">
        <v>2584</v>
      </c>
      <c r="E974" s="22" t="s">
        <v>108</v>
      </c>
      <c r="F974" s="21"/>
      <c r="G974" s="16"/>
      <c r="H974" s="21"/>
      <c r="I974" s="21"/>
      <c r="J974" s="21" t="s">
        <v>2218</v>
      </c>
      <c r="K974" s="21"/>
      <c r="L974" s="22" t="s">
        <v>2219</v>
      </c>
      <c r="M974" s="21"/>
      <c r="O974" s="21"/>
      <c r="P974" s="21"/>
      <c r="Q974" s="21" t="s">
        <v>2218</v>
      </c>
      <c r="R974" s="21"/>
      <c r="S974" s="21" t="s">
        <v>2219</v>
      </c>
      <c r="T974" s="13">
        <v>900</v>
      </c>
      <c r="U974" s="23">
        <v>45202</v>
      </c>
      <c r="V974" s="23">
        <v>45230</v>
      </c>
      <c r="W974" s="13">
        <v>0</v>
      </c>
    </row>
    <row r="975" spans="1:23" ht="90" x14ac:dyDescent="0.25">
      <c r="A975" s="28">
        <v>0</v>
      </c>
      <c r="B975" s="21">
        <v>80204250585</v>
      </c>
      <c r="C975" s="22" t="s">
        <v>48</v>
      </c>
      <c r="D975" s="22" t="s">
        <v>2585</v>
      </c>
      <c r="E975" s="22" t="s">
        <v>54</v>
      </c>
      <c r="F975" s="21"/>
      <c r="G975" s="16"/>
      <c r="H975" s="21"/>
      <c r="I975" s="21"/>
      <c r="J975" s="21" t="s">
        <v>2276</v>
      </c>
      <c r="K975" s="21"/>
      <c r="L975" s="22" t="s">
        <v>2277</v>
      </c>
      <c r="M975" s="21"/>
      <c r="O975" s="21"/>
      <c r="P975" s="21"/>
      <c r="Q975" s="21" t="s">
        <v>2276</v>
      </c>
      <c r="R975" s="21"/>
      <c r="S975" s="21" t="s">
        <v>2277</v>
      </c>
      <c r="T975" s="13">
        <v>5048</v>
      </c>
      <c r="U975" s="23">
        <v>45233</v>
      </c>
      <c r="V975" s="23">
        <v>45360</v>
      </c>
      <c r="W975" s="13">
        <v>0</v>
      </c>
    </row>
    <row r="976" spans="1:23" ht="90" x14ac:dyDescent="0.25">
      <c r="A976" s="28">
        <v>0</v>
      </c>
      <c r="B976" s="21">
        <v>80204250585</v>
      </c>
      <c r="C976" s="22" t="s">
        <v>48</v>
      </c>
      <c r="D976" s="22" t="s">
        <v>2586</v>
      </c>
      <c r="E976" s="22" t="s">
        <v>108</v>
      </c>
      <c r="F976" s="21"/>
      <c r="G976" s="21"/>
      <c r="H976" s="21"/>
      <c r="I976" s="21"/>
      <c r="J976" s="21" t="s">
        <v>2236</v>
      </c>
      <c r="K976" s="21"/>
      <c r="L976" s="87" t="s">
        <v>2237</v>
      </c>
      <c r="M976" s="16"/>
      <c r="O976" s="21"/>
      <c r="P976" s="21"/>
      <c r="Q976" s="21" t="s">
        <v>2236</v>
      </c>
      <c r="R976" s="21"/>
      <c r="S976" s="87" t="s">
        <v>2237</v>
      </c>
      <c r="T976" s="13">
        <v>850</v>
      </c>
      <c r="U976" s="23">
        <v>45195</v>
      </c>
      <c r="V976" s="23">
        <v>45195</v>
      </c>
      <c r="W976" s="13">
        <v>0</v>
      </c>
    </row>
    <row r="977" spans="1:23" ht="90" x14ac:dyDescent="0.25">
      <c r="A977" s="28">
        <v>0</v>
      </c>
      <c r="B977" s="21">
        <v>80204250585</v>
      </c>
      <c r="C977" s="22" t="s">
        <v>48</v>
      </c>
      <c r="D977" s="22" t="s">
        <v>2584</v>
      </c>
      <c r="E977" s="22" t="s">
        <v>108</v>
      </c>
      <c r="F977" s="21"/>
      <c r="G977" s="16"/>
      <c r="H977" s="21"/>
      <c r="I977" s="21"/>
      <c r="J977" s="21" t="s">
        <v>2218</v>
      </c>
      <c r="K977" s="21"/>
      <c r="L977" s="22" t="s">
        <v>2219</v>
      </c>
      <c r="M977" s="21"/>
      <c r="O977" s="21"/>
      <c r="P977" s="21"/>
      <c r="Q977" s="21" t="s">
        <v>2218</v>
      </c>
      <c r="R977" s="21"/>
      <c r="S977" s="21" t="s">
        <v>2219</v>
      </c>
      <c r="T977" s="13">
        <v>800</v>
      </c>
      <c r="U977" s="23">
        <v>45202</v>
      </c>
      <c r="V977" s="23">
        <v>45230</v>
      </c>
      <c r="W977" s="13">
        <v>0</v>
      </c>
    </row>
  </sheetData>
  <autoFilter ref="A12:AD574" xr:uid="{BABA0EC1-1BFD-4F5E-997F-7A56225BCAEA}"/>
  <dataValidations count="3">
    <dataValidation type="textLength" operator="lessThanOrEqual" allowBlank="1" showInputMessage="1" showErrorMessage="1" sqref="D496 D380 D624 D617 D601:D602 D605:D615" xr:uid="{7942D59D-3A30-4AA6-9314-1A9221E1D997}">
      <formula1>249</formula1>
    </dataValidation>
    <dataValidation type="textLength" allowBlank="1" showInputMessage="1" showErrorMessage="1" error="lunghezza massima consentita 10 caratteri" sqref="A400:A403 A574:A589 A604 A591:A602" xr:uid="{232009A2-8768-479D-B9F2-1EAD6D115AB3}">
      <formula1>0</formula1>
      <formula2>10</formula2>
    </dataValidation>
    <dataValidation type="textLength" operator="lessThanOrEqual" allowBlank="1" showInputMessage="1" showErrorMessage="1" error="lunghezza massima consentita 250 caratteri" sqref="D400:D403 D18 D574:D588 D604 D591:D593 D596:D600" xr:uid="{A5E4C2D5-0226-44A6-94AF-D48916FF4908}">
      <formula1>249</formula1>
    </dataValidation>
  </dataValidations>
  <pageMargins left="0.7" right="0.7" top="0.75" bottom="0.75" header="0.3" footer="0.3"/>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6E84BF-AB41-4284-8F1C-93A07209BFBC}">
  <dimension ref="A1:A42"/>
  <sheetViews>
    <sheetView workbookViewId="0">
      <selection activeCell="A13" sqref="A13"/>
    </sheetView>
  </sheetViews>
  <sheetFormatPr defaultRowHeight="15" x14ac:dyDescent="0.25"/>
  <cols>
    <col min="1" max="1" width="120" customWidth="1"/>
    <col min="2" max="2" width="58.85546875" bestFit="1" customWidth="1"/>
  </cols>
  <sheetData>
    <row r="1" spans="1:1" x14ac:dyDescent="0.25">
      <c r="A1" t="s">
        <v>63</v>
      </c>
    </row>
    <row r="2" spans="1:1" x14ac:dyDescent="0.25">
      <c r="A2" t="s">
        <v>1294</v>
      </c>
    </row>
    <row r="3" spans="1:1" x14ac:dyDescent="0.25">
      <c r="A3" t="s">
        <v>164</v>
      </c>
    </row>
    <row r="4" spans="1:1" x14ac:dyDescent="0.25">
      <c r="A4" t="s">
        <v>54</v>
      </c>
    </row>
    <row r="5" spans="1:1" x14ac:dyDescent="0.25">
      <c r="A5" t="s">
        <v>1295</v>
      </c>
    </row>
    <row r="6" spans="1:1" x14ac:dyDescent="0.25">
      <c r="A6" t="s">
        <v>1296</v>
      </c>
    </row>
    <row r="7" spans="1:1" x14ac:dyDescent="0.25">
      <c r="A7" t="s">
        <v>1297</v>
      </c>
    </row>
    <row r="8" spans="1:1" x14ac:dyDescent="0.25">
      <c r="A8" t="s">
        <v>83</v>
      </c>
    </row>
    <row r="9" spans="1:1" x14ac:dyDescent="0.25">
      <c r="A9" t="s">
        <v>1298</v>
      </c>
    </row>
    <row r="10" spans="1:1" x14ac:dyDescent="0.25">
      <c r="A10" t="s">
        <v>1299</v>
      </c>
    </row>
    <row r="11" spans="1:1" x14ac:dyDescent="0.25">
      <c r="A11" t="s">
        <v>1300</v>
      </c>
    </row>
    <row r="12" spans="1:1" x14ac:dyDescent="0.25">
      <c r="A12" t="s">
        <v>1301</v>
      </c>
    </row>
    <row r="13" spans="1:1" x14ac:dyDescent="0.25">
      <c r="A13" t="s">
        <v>108</v>
      </c>
    </row>
    <row r="14" spans="1:1" x14ac:dyDescent="0.25">
      <c r="A14" t="s">
        <v>1302</v>
      </c>
    </row>
    <row r="15" spans="1:1" x14ac:dyDescent="0.25">
      <c r="A15" t="s">
        <v>1303</v>
      </c>
    </row>
    <row r="16" spans="1:1" x14ac:dyDescent="0.25">
      <c r="A16" t="s">
        <v>50</v>
      </c>
    </row>
    <row r="17" spans="1:1" x14ac:dyDescent="0.25">
      <c r="A17" t="s">
        <v>1304</v>
      </c>
    </row>
    <row r="18" spans="1:1" x14ac:dyDescent="0.25">
      <c r="A18" t="s">
        <v>1305</v>
      </c>
    </row>
    <row r="19" spans="1:1" x14ac:dyDescent="0.25">
      <c r="A19" t="s">
        <v>1306</v>
      </c>
    </row>
    <row r="20" spans="1:1" x14ac:dyDescent="0.25">
      <c r="A20" t="s">
        <v>1307</v>
      </c>
    </row>
    <row r="21" spans="1:1" x14ac:dyDescent="0.25">
      <c r="A21" t="s">
        <v>1291</v>
      </c>
    </row>
    <row r="22" spans="1:1" x14ac:dyDescent="0.25">
      <c r="A22" t="s">
        <v>1308</v>
      </c>
    </row>
    <row r="23" spans="1:1" x14ac:dyDescent="0.25">
      <c r="A23" t="s">
        <v>658</v>
      </c>
    </row>
    <row r="24" spans="1:1" x14ac:dyDescent="0.25">
      <c r="A24" t="s">
        <v>1309</v>
      </c>
    </row>
    <row r="25" spans="1:1" x14ac:dyDescent="0.25">
      <c r="A25" t="s">
        <v>1310</v>
      </c>
    </row>
    <row r="26" spans="1:1" x14ac:dyDescent="0.25">
      <c r="A26" t="s">
        <v>1292</v>
      </c>
    </row>
    <row r="27" spans="1:1" x14ac:dyDescent="0.25">
      <c r="A27" t="s">
        <v>1311</v>
      </c>
    </row>
    <row r="28" spans="1:1" x14ac:dyDescent="0.25">
      <c r="A28" t="s">
        <v>1312</v>
      </c>
    </row>
    <row r="32" spans="1:1" x14ac:dyDescent="0.25">
      <c r="A32" s="1"/>
    </row>
    <row r="38" spans="1:1" x14ac:dyDescent="0.25">
      <c r="A38" t="s">
        <v>1313</v>
      </c>
    </row>
    <row r="39" spans="1:1" x14ac:dyDescent="0.25">
      <c r="A39" t="s">
        <v>1314</v>
      </c>
    </row>
    <row r="40" spans="1:1" x14ac:dyDescent="0.25">
      <c r="A40" t="s">
        <v>1315</v>
      </c>
    </row>
    <row r="41" spans="1:1" x14ac:dyDescent="0.25">
      <c r="A41" t="s">
        <v>1316</v>
      </c>
    </row>
    <row r="42" spans="1:1" x14ac:dyDescent="0.25">
      <c r="A42" t="s">
        <v>1317</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2</vt:i4>
      </vt:variant>
    </vt:vector>
  </HeadingPairs>
  <TitlesOfParts>
    <vt:vector size="2" baseType="lpstr">
      <vt:lpstr>Foglio1</vt:lpstr>
      <vt:lpstr>Valori</vt:lpstr>
    </vt:vector>
  </TitlesOfParts>
  <Company>Consob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Savastano, Francesca</dc:creator>
  <cp:lastModifiedBy>Savastano, Francesca</cp:lastModifiedBy>
  <cp:lastPrinted>2022-07-19T07:55:39Z</cp:lastPrinted>
  <dcterms:created xsi:type="dcterms:W3CDTF">2022-07-14T06:14:02Z</dcterms:created>
  <dcterms:modified xsi:type="dcterms:W3CDTF">2023-11-22T13:50:51Z</dcterms:modified>
</cp:coreProperties>
</file>